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ssumptions" sheetId="2" state="visible" r:id="rId4"/>
    <sheet name="Capex" sheetId="3" state="visible" r:id="rId5"/>
    <sheet name="Cash Flow" sheetId="4" state="visible" r:id="rId6"/>
    <sheet name="Sensitivity" sheetId="5" state="visible" r:id="rId7"/>
    <sheet name="Notes" sheetId="6" state="visible" r:id="rId8"/>
  </sheets>
  <definedNames>
    <definedName function="false" hidden="false" name="IRR_H1_1" vbProcedure="false">'Cash Flow'!$D$126:$N$126</definedName>
    <definedName function="false" hidden="false" name="IRR_H1_2" vbProcedure="false">'Cash Flow'!$D$130:$N$130</definedName>
    <definedName function="false" hidden="false" name="IRR_H2_1" vbProcedure="false">'Cash Flow'!$D$127:$N$127</definedName>
    <definedName function="false" hidden="false" name="IRR_H2_2" vbProcedure="false">'Cash Flow'!$D$131:$N$131</definedName>
    <definedName function="false" hidden="false" name="IRR_H3_1" vbProcedure="false">'Cash Flow'!$D$128:$N$128</definedName>
    <definedName function="false" hidden="false" name="IRR_H3_2" vbProcedure="false">'Cash Flow'!$D$132:$N$132</definedName>
    <definedName function="false" hidden="false" name="IRR_H4_1" vbProcedure="false">'Cash Flow'!$D$129:$N$129</definedName>
    <definedName function="false" hidden="false" name="IRR_H4_2" vbProcedure="false">'Cash Flow'!$D$133:$N$133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44" authorId="0">
      <text>
        <r>
          <rPr>
            <sz val="10"/>
            <rFont val="Arial"/>
            <family val="2"/>
          </rPr>
          <t xml:space="preserve">Contingency is applied to each line group's cost grossed up for its average VAT share.</t>
        </r>
      </text>
    </comment>
    <comment ref="D65" authorId="0">
      <text>
        <r>
          <rPr>
            <sz val="10"/>
            <rFont val="Arial"/>
            <family val="2"/>
          </rPr>
          <t xml:space="preserve">Straight-line: each line's cost × (1 − hold/useful life), only where life &gt; hold period. Excludes VAT, contingency and land. Conservative proxy for the value the build adds.</t>
        </r>
      </text>
    </comment>
    <comment ref="F23" authorId="0">
      <text>
        <r>
          <rPr>
            <sz val="10"/>
            <rFont val="Arial"/>
            <family val="2"/>
          </rPr>
          <t xml:space="preserve">Included in the turnkey contractor's design-and-build scope (0 by design, not missing).</t>
        </r>
      </text>
    </comment>
  </commentList>
</comments>
</file>

<file path=xl/sharedStrings.xml><?xml version="1.0" encoding="utf-8"?>
<sst xmlns="http://schemas.openxmlformats.org/spreadsheetml/2006/main" count="704" uniqueCount="469">
  <si>
    <t xml:space="preserve">Serviced Apartment Redevelopment – Investment Case</t>
  </si>
  <si>
    <t xml:space="preserve">Central HCMC · 5-storey townhouse conversion · 10-year hold · unlevered · all figures anonymised for portfolio use</t>
  </si>
  <si>
    <t xml:space="preserve">Total capex – Option 2</t>
  </si>
  <si>
    <t xml:space="preserve">NPV – Option 2</t>
  </si>
  <si>
    <t xml:space="preserve">IRR – Option 2</t>
  </si>
  <si>
    <t xml:space="preserve">Incremental IRR (2 vs 1)</t>
  </si>
  <si>
    <t xml:space="preserve">VND m</t>
  </si>
  <si>
    <t xml:space="preserve">OPTION COMPARISON</t>
  </si>
  <si>
    <t xml:space="preserve">Metric</t>
  </si>
  <si>
    <t xml:space="preserve">Option 1</t>
  </si>
  <si>
    <t xml:space="preserve">Option 2</t>
  </si>
  <si>
    <t xml:space="preserve">Δ (2 – 1)</t>
  </si>
  <si>
    <t xml:space="preserve">Rental rooms</t>
  </si>
  <si>
    <t xml:space="preserve">Total capex (VND m)</t>
  </si>
  <si>
    <t xml:space="preserve">Capex per room (VND m)</t>
  </si>
  <si>
    <t xml:space="preserve">Year 1 revenue (VND m)</t>
  </si>
  <si>
    <t xml:space="preserve">Stabilised NOI – Y3 (VND m)</t>
  </si>
  <si>
    <t xml:space="preserve">Stabilised NOI margin</t>
  </si>
  <si>
    <t xml:space="preserve">Yield on cost (Y3)</t>
  </si>
  <si>
    <t xml:space="preserve">NPV – selected exit (VND m)</t>
  </si>
  <si>
    <t xml:space="preserve">IRR – selected exit</t>
  </si>
  <si>
    <t xml:space="preserve">NPV – cap-rate sale (VND m)</t>
  </si>
  <si>
    <t xml:space="preserve">NPV – depreciated-cost exit (VND m)</t>
  </si>
  <si>
    <t xml:space="preserve">NPV – no exit value (VND m)</t>
  </si>
  <si>
    <t xml:space="preserve">Break-even rent vs base</t>
  </si>
  <si>
    <t xml:space="preserve">Break-even stabilised occupancy</t>
  </si>
  <si>
    <t xml:space="preserve">Payback – operating</t>
  </si>
  <si>
    <t xml:space="preserve">Discounted payback</t>
  </si>
  <si>
    <t xml:space="preserve">KEY TAKEAWAYS</t>
  </si>
  <si>
    <t xml:space="preserve">SCENARIO SNAPSHOT – OPTION 2</t>
  </si>
  <si>
    <t xml:space="preserve">Downside</t>
  </si>
  <si>
    <t xml:space="preserve">Base</t>
  </si>
  <si>
    <t xml:space="preserve">Upside</t>
  </si>
  <si>
    <t xml:space="preserve">Year-1 rent: large / small (VND m)</t>
  </si>
  <si>
    <t xml:space="preserve">10.5 / 7.5</t>
  </si>
  <si>
    <t xml:space="preserve">11.5 / 8.0</t>
  </si>
  <si>
    <t xml:space="preserve">12.5 / 8.8</t>
  </si>
  <si>
    <t xml:space="preserve">Stabilised occupancy</t>
  </si>
  <si>
    <t xml:space="preserve">Discount rate</t>
  </si>
  <si>
    <t xml:space="preserve">Static values pasted from three model runs. Change Assumptions!C5 to run any case live.</t>
  </si>
  <si>
    <t xml:space="preserve">CHART DATA (linked to model – do not edit)</t>
  </si>
  <si>
    <t xml:space="preserve">Year</t>
  </si>
  <si>
    <t xml:space="preserve">Y0</t>
  </si>
  <si>
    <t xml:space="preserve">Y1</t>
  </si>
  <si>
    <t xml:space="preserve">Y2</t>
  </si>
  <si>
    <t xml:space="preserve">Y3</t>
  </si>
  <si>
    <t xml:space="preserve">Y4</t>
  </si>
  <si>
    <t xml:space="preserve">Y5</t>
  </si>
  <si>
    <t xml:space="preserve">Y6</t>
  </si>
  <si>
    <t xml:space="preserve">Y7</t>
  </si>
  <si>
    <t xml:space="preserve">Y8</t>
  </si>
  <si>
    <t xml:space="preserve">Y9</t>
  </si>
  <si>
    <t xml:space="preserve">Y10</t>
  </si>
  <si>
    <t xml:space="preserve">Option 1 – cumulative CF before exit</t>
  </si>
  <si>
    <t xml:space="preserve">Option 2 – cumulative CF before exit</t>
  </si>
  <si>
    <t xml:space="preserve">Option 1 – NOI</t>
  </si>
  <si>
    <t xml:space="preserve">Option 2 – NOI</t>
  </si>
  <si>
    <t xml:space="preserve">Option 2 – revenue</t>
  </si>
  <si>
    <t xml:space="preserve">Option 2 – operating costs</t>
  </si>
  <si>
    <t xml:space="preserve">Capex category</t>
  </si>
  <si>
    <t xml:space="preserve">Monthly drawdown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</si>
  <si>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</si>
  <si>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</si>
  <si>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</si>
  <si>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</si>
  <si>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</si>
  <si>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</si>
  <si>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Y1 ret.</t>
  </si>
  <si>
    <t xml:space="preserve">Assumptions</t>
  </si>
  <si>
    <t xml:space="preserve">All model inputs live here. Blue = hard-coded input; yellow fill = key driver. Figures are anonymised (randomised ±3–8% vs. the original project) for portfolio use.</t>
  </si>
  <si>
    <t xml:space="preserve">ACTIVE SCENARIO  (1 = Downside · 2 = Base · 3 = Upside)</t>
  </si>
  <si>
    <t xml:space="preserve">Scenario-driven inputs show their live value in column C and the three cases in columns H–J.</t>
  </si>
  <si>
    <t xml:space="preserve">1. ROOM CONFIGURATION (by option)</t>
  </si>
  <si>
    <t xml:space="preserve">Parameter</t>
  </si>
  <si>
    <t xml:space="preserve">Unit</t>
  </si>
  <si>
    <t xml:space="preserve">Basis / note</t>
  </si>
  <si>
    <t xml:space="preserve">Large rooms (apartment type)</t>
  </si>
  <si>
    <t xml:space="preserve">rooms</t>
  </si>
  <si>
    <t xml:space="preserve">Same in both options</t>
  </si>
  <si>
    <t xml:space="preserve">Small rooms (bedroom type)</t>
  </si>
  <si>
    <t xml:space="preserve">Option 2 converts the mezzanine/roof area into 2 extra small rooms</t>
  </si>
  <si>
    <t xml:space="preserve">Additional finishing area</t>
  </si>
  <si>
    <t xml:space="preserve">m²</t>
  </si>
  <si>
    <t xml:space="preserve">Extra finished area needed for the 2 added rooms (Option 2 only)</t>
  </si>
  <si>
    <t xml:space="preserve">Total rental rooms</t>
  </si>
  <si>
    <t xml:space="preserve">2. REVENUE</t>
  </si>
  <si>
    <t xml:space="preserve">Live value</t>
  </si>
  <si>
    <t xml:space="preserve">Large room – monthly rent (Year 1)</t>
  </si>
  <si>
    <t xml:space="preserve">VND/month</t>
  </si>
  <si>
    <t xml:space="preserve">Fully furnished, serviced, elevator access: priced inside the 8–20m band of 1BR serviced comparables (E), above unserviced mini-apartments (A)</t>
  </si>
  <si>
    <t xml:space="preserve">Small room – monthly rent (Year 1)</t>
  </si>
  <si>
    <t xml:space="preserve">Mid-point of the 5–10m band for serviced studios &lt;30 m² (B, D)</t>
  </si>
  <si>
    <t xml:space="preserve">Rent escalation – large rooms</t>
  </si>
  <si>
    <t xml:space="preserve">% p.a.</t>
  </si>
  <si>
    <t xml:space="preserve">In line with long-run CPI + modest real growth</t>
  </si>
  <si>
    <t xml:space="preserve">Rent escalation – small rooms</t>
  </si>
  <si>
    <t xml:space="preserve">Occupancy – Year 1 (lease-up)</t>
  </si>
  <si>
    <t xml:space="preserve">%</t>
  </si>
  <si>
    <t xml:space="preserve">Lease-up year after opening</t>
  </si>
  <si>
    <t xml:space="preserve">Occupancy – Year 2</t>
  </si>
  <si>
    <t xml:space="preserve">Ramp-up step added (original model jumped straight to stabilised)</t>
  </si>
  <si>
    <t xml:space="preserve">Occupancy – stabilised (Year 3+)</t>
  </si>
  <si>
    <t xml:space="preserve">~1 month vacancy per room per year on 12-month leases</t>
  </si>
  <si>
    <t xml:space="preserve">Other income (laundry, parking, late fees)</t>
  </si>
  <si>
    <t xml:space="preserve">% of rent</t>
  </si>
  <si>
    <t xml:space="preserve">Small ancillary income; set to 0% to exclude</t>
  </si>
  <si>
    <t xml:space="preserve">3. OPERATING COSTS</t>
  </si>
  <si>
    <t xml:space="preserve">Expense item</t>
  </si>
  <si>
    <t xml:space="preserve">Year 1 value</t>
  </si>
  <si>
    <t xml:space="preserve">Basis</t>
  </si>
  <si>
    <t xml:space="preserve">Revenue-linked</t>
  </si>
  <si>
    <t xml:space="preserve">Leasing taxes (VAT 5% + PIT 5%)</t>
  </si>
  <si>
    <t xml:space="preserve">% of revenue</t>
  </si>
  <si>
    <t xml:space="preserve">Individual lessor with rental revenue &gt;100m VND/yr pays 5% VAT + 5% PIT on revenue. Original model had 0%.</t>
  </si>
  <si>
    <t xml:space="preserve">Brokerage &amp; marketing</t>
  </si>
  <si>
    <t xml:space="preserve">≈ 50% of one month's rent per new lease, average stay ~12 months</t>
  </si>
  <si>
    <t xml:space="preserve">Repairs &amp; maintenance</t>
  </si>
  <si>
    <t xml:space="preserve">Day-to-day repairs (kept from original)</t>
  </si>
  <si>
    <t xml:space="preserve">Operator management fee</t>
  </si>
  <si>
    <t xml:space="preserve">Third-party / family operator fee for leasing, tenant service &amp; collections (replaces the original flat 120m/yr fee + 8m/month PM)</t>
  </si>
  <si>
    <t xml:space="preserve">FF&amp;E replacement reserve (below NOI)</t>
  </si>
  <si>
    <t xml:space="preserve">Industry convention 3–4%; funds replacing furniture/appliances over 10 years</t>
  </si>
  <si>
    <t xml:space="preserve">Room-linked</t>
  </si>
  <si>
    <t xml:space="preserve">Housekeeping &amp; linen</t>
  </si>
  <si>
    <t xml:space="preserve">VND/occupied room-month</t>
  </si>
  <si>
    <t xml:space="preserve">New: scales with occupied rooms, so Option 2 carries its own servicing cost</t>
  </si>
  <si>
    <t xml:space="preserve">Guest consumables &amp; supplies</t>
  </si>
  <si>
    <t xml:space="preserve">New</t>
  </si>
  <si>
    <t xml:space="preserve">Internet / Wi-Fi</t>
  </si>
  <si>
    <t xml:space="preserve">VND/room-month</t>
  </si>
  <si>
    <t xml:space="preserve">Per installed room (original: flat 0.7m/month)</t>
  </si>
  <si>
    <t xml:space="preserve">Fixed</t>
  </si>
  <si>
    <t xml:space="preserve">On-site caretaker / security</t>
  </si>
  <si>
    <t xml:space="preserve">Part-time caretaker; leasing &amp; admin covered by operator fee</t>
  </si>
  <si>
    <t xml:space="preserve">Common-area cleaning</t>
  </si>
  <si>
    <t xml:space="preserve">Common-area electricity</t>
  </si>
  <si>
    <t xml:space="preserve">In-room electricity &amp; water re-billed to tenants at cost</t>
  </si>
  <si>
    <t xml:space="preserve">Common-area water</t>
  </si>
  <si>
    <t xml:space="preserve">Elevator maintenance contract</t>
  </si>
  <si>
    <t xml:space="preserve">New: elevator is in capex but had no running cost in the original</t>
  </si>
  <si>
    <t xml:space="preserve">Accounting &amp; administration</t>
  </si>
  <si>
    <t xml:space="preserve">Insurance, fire safety &amp; inspections</t>
  </si>
  <si>
    <t xml:space="preserve">VND/year</t>
  </si>
  <si>
    <t xml:space="preserve">Operating cost inflation</t>
  </si>
  <si>
    <t xml:space="preserve">Applied to all VND-denominated costs from Year 2</t>
  </si>
  <si>
    <t xml:space="preserve">4. CAPEX &amp; CONSTRUCTION</t>
  </si>
  <si>
    <t xml:space="preserve">Value</t>
  </si>
  <si>
    <t xml:space="preserve">Construction period</t>
  </si>
  <si>
    <t xml:space="preserve">months</t>
  </si>
  <si>
    <t xml:space="preserve">Capex treated as Year 0; operations start the month after handover</t>
  </si>
  <si>
    <t xml:space="preserve">VAT on construction &amp; equipment</t>
  </si>
  <si>
    <t xml:space="preserve">Applied only to lines flagged VAT = Y on the Capex sheet (permits excluded)</t>
  </si>
  <si>
    <t xml:space="preserve">Contingency – construction &amp; building systems</t>
  </si>
  <si>
    <t xml:space="preserve">Raised from 5%: design and quotes not yet final</t>
  </si>
  <si>
    <t xml:space="preserve">Contingency – FF&amp;E, soft &amp; pre-opening</t>
  </si>
  <si>
    <t xml:space="preserve">Contractor retention</t>
  </si>
  <si>
    <t xml:space="preserve">% of turnkey</t>
  </si>
  <si>
    <t xml:space="preserve">Held back until end of defects-liability period → paid in Year 1</t>
  </si>
  <si>
    <t xml:space="preserve">5. VALUATION</t>
  </si>
  <si>
    <t xml:space="preserve">Holding period</t>
  </si>
  <si>
    <t xml:space="preserve">years</t>
  </si>
  <si>
    <t xml:space="preserve">Model horizon is fixed at 10 annual periods</t>
  </si>
  <si>
    <t xml:space="preserve">Building economic life (from completion)</t>
  </si>
  <si>
    <t xml:space="preserve">Reinforced-concrete townhouse; used by exit method 2 (income over remaining life)</t>
  </si>
  <si>
    <t xml:space="preserve">Discount rate (unlevered, nominal)</t>
  </si>
  <si>
    <t xml:space="preserve">Owner's required return; ~4–5pp above VND deposit / mortgage rates</t>
  </si>
  <si>
    <t xml:space="preserve">Exit method (1 cap-rate · 2 remaining-life income · 3 depreciated cost · 4 none)</t>
  </si>
  <si>
    <t xml:space="preserve">selector</t>
  </si>
  <si>
    <t xml:space="preserve">Base = 2: value of Year-11+ cash flow over the building's remaining 30-year life, discounted at the project rate. Excludes land (which a perpetual cap-rate value implicitly includes, since land never wears out).</t>
  </si>
  <si>
    <t xml:space="preserve">Exit cap rate (method 1)</t>
  </si>
  <si>
    <t xml:space="preserve">Applied to forward (Year 11) NOI; small-building risk premium over Grade A serviced apartments</t>
  </si>
  <si>
    <t xml:space="preserve">NOI growth into Year 11</t>
  </si>
  <si>
    <t xml:space="preserve">Selling costs on exit</t>
  </si>
  <si>
    <t xml:space="preserve">% of value</t>
  </si>
  <si>
    <t xml:space="preserve">Brokerage + legal on sale</t>
  </si>
  <si>
    <t xml:space="preserve">6. MARKET BENCHMARKS (anonymised comparables)</t>
  </si>
  <si>
    <t xml:space="preserve">Comparable</t>
  </si>
  <si>
    <t xml:space="preserve">Rent (VND m/month)</t>
  </si>
  <si>
    <t xml:space="preserve">Size</t>
  </si>
  <si>
    <t xml:space="preserve">Location / type</t>
  </si>
  <si>
    <t xml:space="preserve">Comparable A – mini apartment</t>
  </si>
  <si>
    <t xml:space="preserve">6.5</t>
  </si>
  <si>
    <t xml:space="preserve">~25 m²</t>
  </si>
  <si>
    <t xml:space="preserve">Same street</t>
  </si>
  <si>
    <t xml:space="preserve">Comparable B – serviced studio</t>
  </si>
  <si>
    <t xml:space="preserve">5–10</t>
  </si>
  <si>
    <t xml:space="preserve">&lt;30 m²</t>
  </si>
  <si>
    <t xml:space="preserve">Comparable C – room for rent</t>
  </si>
  <si>
    <t xml:space="preserve">4.0</t>
  </si>
  <si>
    <t xml:space="preserve">~18 m²</t>
  </si>
  <si>
    <t xml:space="preserve">Comparable D – serviced apartment</t>
  </si>
  <si>
    <t xml:space="preserve">25–35 m²</t>
  </si>
  <si>
    <t xml:space="preserve">Adjacent central district</t>
  </si>
  <si>
    <t xml:space="preserve">Comparable E – 1BR serviced apartment</t>
  </si>
  <si>
    <t xml:space="preserve">8–20</t>
  </si>
  <si>
    <t xml:space="preserve">35–50 m²</t>
  </si>
  <si>
    <t xml:space="preserve">Capex – Construction Quote, Budget &amp; Drawdown</t>
  </si>
  <si>
    <t xml:space="preserve">VND. Option columns are formulas driven by the per-room and fixed unit costs. Payment schedule % per line drives the monthly drawdown.</t>
  </si>
  <si>
    <t xml:space="preserve">A. EFFECTIVE CONSTRUCTION AREA</t>
  </si>
  <si>
    <t xml:space="preserve">Component</t>
  </si>
  <si>
    <t xml:space="preserve">Base area (m²)</t>
  </si>
  <si>
    <t xml:space="preserve">Factor</t>
  </si>
  <si>
    <t xml:space="preserve">Effective (m²)</t>
  </si>
  <si>
    <t xml:space="preserve">Foundation footprint</t>
  </si>
  <si>
    <t xml:space="preserve">Front yard</t>
  </si>
  <si>
    <t xml:space="preserve">Ground floor + Floors 1–2 (3 × 78 m²)</t>
  </si>
  <si>
    <t xml:space="preserve">Mezzanine floor</t>
  </si>
  <si>
    <t xml:space="preserve">Mezzanine void</t>
  </si>
  <si>
    <t xml:space="preserve">Roof terrace + roof</t>
  </si>
  <si>
    <t xml:space="preserve">Total effective construction area</t>
  </si>
  <si>
    <t xml:space="preserve">B. CONTRACTOR QUOTES</t>
  </si>
  <si>
    <t xml:space="preserve">Scope</t>
  </si>
  <si>
    <t xml:space="preserve">Rate (VND/m²)</t>
  </si>
  <si>
    <t xml:space="preserve">Amount (VND)</t>
  </si>
  <si>
    <t xml:space="preserve">Status</t>
  </si>
  <si>
    <t xml:space="preserve">Structure + finishing labour (reference only)</t>
  </si>
  <si>
    <t xml:space="preserve">Not selected</t>
  </si>
  <si>
    <t xml:space="preserve">Turnkey construction (fully finished)</t>
  </si>
  <si>
    <t xml:space="preserve">Selected</t>
  </si>
  <si>
    <t xml:space="preserve">C. CAPEX BUDGET BY LINE (VND)</t>
  </si>
  <si>
    <t xml:space="preserve">Payment schedule (% of line)  →  M1–M6 = construction months, Y1 = retention released in Year 1</t>
  </si>
  <si>
    <t xml:space="preserve">#</t>
  </si>
  <si>
    <t xml:space="preserve">Group</t>
  </si>
  <si>
    <t xml:space="preserve">Line item</t>
  </si>
  <si>
    <t xml:space="preserve">Per room (VND)</t>
  </si>
  <si>
    <t xml:space="preserve">Fixed / common (VND)</t>
  </si>
  <si>
    <t xml:space="preserve">VAT</t>
  </si>
  <si>
    <t xml:space="preserve">Life (yrs)</t>
  </si>
  <si>
    <t xml:space="preserve">Δ Opt 2 – 1</t>
  </si>
  <si>
    <t xml:space="preserve">Check</t>
  </si>
  <si>
    <t xml:space="preserve">Soft</t>
  </si>
  <si>
    <t xml:space="preserve">Permit, site supervision &amp; engineering (6 months)</t>
  </si>
  <si>
    <t xml:space="preserve">N</t>
  </si>
  <si>
    <t xml:space="preserve">Architectural, structural &amp; MEP design</t>
  </si>
  <si>
    <t xml:space="preserve">Construction permit application</t>
  </si>
  <si>
    <t xml:space="preserve">Construction</t>
  </si>
  <si>
    <t xml:space="preserve">Turnkey construction package (base)</t>
  </si>
  <si>
    <t xml:space="preserve">-</t>
  </si>
  <si>
    <t xml:space="preserve">Y</t>
  </si>
  <si>
    <t xml:space="preserve">Additional finishing for added rooms</t>
  </si>
  <si>
    <t xml:space="preserve">area × rate</t>
  </si>
  <si>
    <t xml:space="preserve">Post-construction cleaning &amp; waste removal</t>
  </si>
  <si>
    <t xml:space="preserve">Systems</t>
  </si>
  <si>
    <t xml:space="preserve">Elevator supply &amp; installation</t>
  </si>
  <si>
    <t xml:space="preserve">CCTV, network cabling &amp; initial internet setup</t>
  </si>
  <si>
    <t xml:space="preserve">Smart locks</t>
  </si>
  <si>
    <t xml:space="preserve">FF&amp;E</t>
  </si>
  <si>
    <t xml:space="preserve">Air-conditioning units</t>
  </si>
  <si>
    <t xml:space="preserve">Beds, mattresses &amp; headboards</t>
  </si>
  <si>
    <t xml:space="preserve">Wardrobes</t>
  </si>
  <si>
    <t xml:space="preserve">Tables, chairs, sofas &amp; dining sets</t>
  </si>
  <si>
    <t xml:space="preserve">Televisions</t>
  </si>
  <si>
    <t xml:space="preserve">Refrigerators</t>
  </si>
  <si>
    <t xml:space="preserve">Washing machines</t>
  </si>
  <si>
    <t xml:space="preserve">Shared dryers (2 units)</t>
  </si>
  <si>
    <t xml:space="preserve">Kitchen cabinets, cooktops &amp; range hoods</t>
  </si>
  <si>
    <t xml:space="preserve">Curtains, decorative lighting &amp; décor</t>
  </si>
  <si>
    <t xml:space="preserve">Pre-opening</t>
  </si>
  <si>
    <t xml:space="preserve">Launch marketing, photography &amp; initial supplies</t>
  </si>
  <si>
    <t xml:space="preserve">Subtotal before VAT &amp; contingency</t>
  </si>
  <si>
    <t xml:space="preserve">VAT (on lines flagged Y)</t>
  </si>
  <si>
    <t xml:space="preserve">Contingency (hard 10% / other 5%, on cost incl. VAT)</t>
  </si>
  <si>
    <t xml:space="preserve">TOTAL PROJECT CAPEX</t>
  </si>
  <si>
    <t xml:space="preserve">Capex per rental room</t>
  </si>
  <si>
    <t xml:space="preserve">← K = incremental capex per added room</t>
  </si>
  <si>
    <t xml:space="preserve">D. CAPEX DRAWDOWN (VND, incl. VAT &amp; contingency pro-rata)</t>
  </si>
  <si>
    <t xml:space="preserve">Option</t>
  </si>
  <si>
    <t xml:space="preserve">Year 0 total</t>
  </si>
  <si>
    <t xml:space="preserve">Year 1 (retention)</t>
  </si>
  <si>
    <t xml:space="preserve">VND million</t>
  </si>
  <si>
    <t xml:space="preserve">E. CAPEX BY CATEGORY &amp; BUILDING RESIDUAL VALUE</t>
  </si>
  <si>
    <t xml:space="preserve">Category</t>
  </si>
  <si>
    <t xml:space="preserve">Δ</t>
  </si>
  <si>
    <t xml:space="preserve">Soft costs (permits, supervision, design)</t>
  </si>
  <si>
    <t xml:space="preserve">Construction (turnkey + finishing)</t>
  </si>
  <si>
    <t xml:space="preserve">Building systems (elevator, CCTV, locks)</t>
  </si>
  <si>
    <t xml:space="preserve">Furniture, fixtures &amp; equipment</t>
  </si>
  <si>
    <t xml:space="preserve">Contingency</t>
  </si>
  <si>
    <t xml:space="preserve">Total</t>
  </si>
  <si>
    <t xml:space="preserve">Building residual value at end of hold (exit method 2)</t>
  </si>
  <si>
    <t xml:space="preserve">Straight-line depreciation by line life; excludes land, VAT &amp; contingency</t>
  </si>
  <si>
    <t xml:space="preserve">Annual Cash Flow – Unlevered</t>
  </si>
  <si>
    <t xml:space="preserve">VND million unless stated. Year 0 = construction; Years 1–10 = operations. Both options run through an identical engine; only the room count and capex differ.</t>
  </si>
  <si>
    <t xml:space="preserve">OPTION 1</t>
  </si>
  <si>
    <t xml:space="preserve">Year 0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</si>
  <si>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</si>
  <si>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</si>
  <si>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</si>
  <si>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</si>
  <si>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</si>
  <si>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Year 6</t>
  </si>
  <si>
    <t xml:space="preserve">Year 7</t>
  </si>
  <si>
    <t xml:space="preserve">Year 8</t>
  </si>
  <si>
    <t xml:space="preserve">Year 9</t>
  </si>
  <si>
    <t xml:space="preserve">Year 10</t>
  </si>
  <si>
    <t xml:space="preserve">Period index</t>
  </si>
  <si>
    <t xml:space="preserve">Occupancy</t>
  </si>
  <si>
    <t xml:space="preserve">Large room rent</t>
  </si>
  <si>
    <t xml:space="preserve">VND/mo</t>
  </si>
  <si>
    <t xml:space="preserve">Small room rent</t>
  </si>
  <si>
    <t xml:space="preserve">Occupied room-months</t>
  </si>
  <si>
    <t xml:space="preserve">rm-mo</t>
  </si>
  <si>
    <t xml:space="preserve">Rental revenue – large rooms</t>
  </si>
  <si>
    <t xml:space="preserve">Rental revenue – small rooms</t>
  </si>
  <si>
    <t xml:space="preserve">Other income</t>
  </si>
  <si>
    <t xml:space="preserve">TOTAL REVENUE</t>
  </si>
  <si>
    <t xml:space="preserve">Leasing taxes (VAT + PIT)</t>
  </si>
  <si>
    <t xml:space="preserve">Consumables &amp; supplies</t>
  </si>
  <si>
    <t xml:space="preserve">On-site caretaker</t>
  </si>
  <si>
    <t xml:space="preserve">Common-area utilities</t>
  </si>
  <si>
    <t xml:space="preserve">Elevator maintenance</t>
  </si>
  <si>
    <t xml:space="preserve">Insurance &amp; fire safety</t>
  </si>
  <si>
    <t xml:space="preserve">TOTAL OPERATING COSTS</t>
  </si>
  <si>
    <t xml:space="preserve">NET OPERATING INCOME (NOI)</t>
  </si>
  <si>
    <t xml:space="preserve">NOI margin</t>
  </si>
  <si>
    <t xml:space="preserve">FF&amp;E replacement reserve</t>
  </si>
  <si>
    <t xml:space="preserve">Capex (incl. VAT &amp; contingency)</t>
  </si>
  <si>
    <t xml:space="preserve">Cash flow before exit</t>
  </si>
  <si>
    <t xml:space="preserve">Exit value – cap-rate sale (method 1)</t>
  </si>
  <si>
    <t xml:space="preserve">Exit value – remaining-life income (method 2)</t>
  </si>
  <si>
    <t xml:space="preserve">Exit value – depreciated building cost (method 3)</t>
  </si>
  <si>
    <t xml:space="preserve">Exit value – selected method</t>
  </si>
  <si>
    <t xml:space="preserve">NET CASH FLOW</t>
  </si>
  <si>
    <t xml:space="preserve">Cumulative cash flow – before exit</t>
  </si>
  <si>
    <t xml:space="preserve">Discount factor</t>
  </si>
  <si>
    <t xml:space="preserve">Present value of net cash flow</t>
  </si>
  <si>
    <t xml:space="preserve">Cumulative PV – before exit</t>
  </si>
  <si>
    <t xml:space="preserve">Payback helper</t>
  </si>
  <si>
    <t xml:space="preserve">Discounted payback helper</t>
  </si>
  <si>
    <t xml:space="preserve">OPTION 2</t>
  </si>
  <si>
    <t xml:space="preserve">INCREMENTAL: OPTION 2 vs OPTION 1</t>
  </si>
  <si>
    <t xml:space="preserve">Δ Capex</t>
  </si>
  <si>
    <t xml:space="preserve">Δ NOI</t>
  </si>
  <si>
    <t xml:space="preserve">Δ Cash flow before exit</t>
  </si>
  <si>
    <t xml:space="preserve">Δ Net cash flow (selected exit)</t>
  </si>
  <si>
    <t xml:space="preserve">RETURN METRICS</t>
  </si>
  <si>
    <t xml:space="preserve">Total capex</t>
  </si>
  <si>
    <t xml:space="preserve">Year 1 revenue</t>
  </si>
  <si>
    <t xml:space="preserve">Stabilised NOI (Year 3)</t>
  </si>
  <si>
    <t xml:space="preserve">Stabilised NOI margin (Year 3)</t>
  </si>
  <si>
    <t xml:space="preserve">Yield on cost (Y3 NOI / capex)</t>
  </si>
  <si>
    <t xml:space="preserve">NPV @ discount rate – selected exit</t>
  </si>
  <si>
    <t xml:space="preserve">NPV – cap-rate sale</t>
  </si>
  <si>
    <t xml:space="preserve">NPV – remaining-life income</t>
  </si>
  <si>
    <t xml:space="preserve">NPV – depreciated cost</t>
  </si>
  <si>
    <t xml:space="preserve">NPV – no exit value</t>
  </si>
  <si>
    <t xml:space="preserve">IRR – cap-rate sale</t>
  </si>
  <si>
    <t xml:space="preserve">IRR – remaining-life income</t>
  </si>
  <si>
    <t xml:space="preserve">IRR – depreciated cost</t>
  </si>
  <si>
    <t xml:space="preserve">IRR – no exit value</t>
  </si>
  <si>
    <t xml:space="preserve">Payback – operating cash flow</t>
  </si>
  <si>
    <t xml:space="preserve">Incremental capex per added room</t>
  </si>
  <si>
    <t xml:space="preserve">Incremental IRR (Option 2 over Option 1)</t>
  </si>
  <si>
    <t xml:space="preserve">Incremental yield on cost (Δ Y3 NOI / Δ capex)</t>
  </si>
  <si>
    <t xml:space="preserve">Payback helpers: cells show the fractional year in which cumulative cash flow (before exit) turns positive.</t>
  </si>
  <si>
    <t xml:space="preserve">IRR HELPER ROWS (net cash flow by exit method)</t>
  </si>
  <si>
    <t xml:space="preserve">Option 1 – exit method 1</t>
  </si>
  <si>
    <t xml:space="preserve">Option 1 – exit method 2</t>
  </si>
  <si>
    <t xml:space="preserve">Option 1 – exit method 3</t>
  </si>
  <si>
    <t xml:space="preserve">Option 1 – exit method 4</t>
  </si>
  <si>
    <t xml:space="preserve">Option 2 – exit method 1</t>
  </si>
  <si>
    <t xml:space="preserve">Option 2 – exit method 2</t>
  </si>
  <si>
    <t xml:space="preserve">Option 2 – exit method 3</t>
  </si>
  <si>
    <t xml:space="preserve">Option 2 – exit method 4</t>
  </si>
  <si>
    <t xml:space="preserve">Sensitivity Analysis</t>
  </si>
  <si>
    <t xml:space="preserve">Live formulas. Grids 1 &amp; 3 use a decomposition of each option's cash flow (revenue-linked, occupancy-linked and fixed components) so they recalculate without Excel data tables.</t>
  </si>
  <si>
    <t xml:space="preserve">MODEL DECOMPOSITION (helpers, VND)</t>
  </si>
  <si>
    <t xml:space="preserve">Formula</t>
  </si>
  <si>
    <t xml:space="preserve">PV of revenue (Y1–10)</t>
  </si>
  <si>
    <t xml:space="preserve">scales with rent × occupancy</t>
  </si>
  <si>
    <t xml:space="preserve">PV of occupancy-linked costs</t>
  </si>
  <si>
    <t xml:space="preserve">housekeeping + consumables</t>
  </si>
  <si>
    <t xml:space="preserve">PV of fixed &amp; room-linked costs</t>
  </si>
  <si>
    <t xml:space="preserve">PV of capex</t>
  </si>
  <si>
    <t xml:space="preserve">Year 10 revenue</t>
  </si>
  <si>
    <t xml:space="preserve">Year 10 occupancy-linked costs</t>
  </si>
  <si>
    <t xml:space="preserve">Year 10 fixed costs</t>
  </si>
  <si>
    <t xml:space="preserve">Depreciated building cost (method 3)</t>
  </si>
  <si>
    <t xml:space="preserve">Year 10 discount factor</t>
  </si>
  <si>
    <t xml:space="preserve">Check: rebuilt NPV vs Cash Flow NPV</t>
  </si>
  <si>
    <t xml:space="preserve">GRID 1 – OPTION 2 NPV (selected exit): rent vs stabilised occupancy</t>
  </si>
  <si>
    <t xml:space="preserve">Rows: stabilised occupancy (Y1/Y2 scale proportionally)   ·   Columns: rent vs base</t>
  </si>
  <si>
    <t xml:space="preserve">NPV (VND m)</t>
  </si>
  <si>
    <t xml:space="preserve">GRID 2 – OPTION 1 NPV (selected exit): rent vs stabilised occupancy</t>
  </si>
  <si>
    <t xml:space="preserve">Rows: stabilised occupancy   ·   Columns: rent vs base</t>
  </si>
  <si>
    <t xml:space="preserve">GRID 3 – OPTION 2 NPV with CAP-RATE EXIT (method 1): discount rate vs exit cap rate</t>
  </si>
  <si>
    <t xml:space="preserve">Rows: discount rate   ·   Columns: exit cap rate</t>
  </si>
  <si>
    <t xml:space="preserve">ONE-WAY SENSITIVITY – OPTION 2 NPV (selected exit), VND</t>
  </si>
  <si>
    <t xml:space="preserve">Driver</t>
  </si>
  <si>
    <t xml:space="preserve">Low case</t>
  </si>
  <si>
    <t xml:space="preserve">High case</t>
  </si>
  <si>
    <t xml:space="preserve">NPV – low</t>
  </si>
  <si>
    <t xml:space="preserve">NPV – high</t>
  </si>
  <si>
    <t xml:space="preserve">Swing</t>
  </si>
  <si>
    <t xml:space="preserve">Downside Δ</t>
  </si>
  <si>
    <t xml:space="preserve">Upside Δ</t>
  </si>
  <si>
    <t xml:space="preserve">Rent ±10%</t>
  </si>
  <si>
    <t xml:space="preserve">-10%</t>
  </si>
  <si>
    <t xml:space="preserve">+10%</t>
  </si>
  <si>
    <t xml:space="preserve">Stabilised occupancy ±5pp</t>
  </si>
  <si>
    <t xml:space="preserve">-5pp</t>
  </si>
  <si>
    <t xml:space="preserve">+5pp</t>
  </si>
  <si>
    <t xml:space="preserve">Capex ±10%</t>
  </si>
  <si>
    <t xml:space="preserve">Fixed operating costs ±10%</t>
  </si>
  <si>
    <t xml:space="preserve">Discount rate ±2pp</t>
  </si>
  <si>
    <t xml:space="preserve">+2pp</t>
  </si>
  <si>
    <t xml:space="preserve">-2pp</t>
  </si>
  <si>
    <t xml:space="preserve">Base-case NPV (Option 2)</t>
  </si>
  <si>
    <t xml:space="preserve">BREAK-EVEN ANALYSIS (NPV = 0, one driver at a time)</t>
  </si>
  <si>
    <t xml:space="preserve">Reading</t>
  </si>
  <si>
    <t xml:space="preserve">Rent change needed vs base</t>
  </si>
  <si>
    <t xml:space="preserve">NPV is linear in rent → exact</t>
  </si>
  <si>
    <t xml:space="preserve">Capex change that still gives NPV = 0</t>
  </si>
  <si>
    <t xml:space="preserve">negative = capex must fall</t>
  </si>
  <si>
    <t xml:space="preserve">Break-even stabilised occupancy (rent at base)</t>
  </si>
  <si>
    <t xml:space="preserve">Y1/Y2 occupancy scale proportionally</t>
  </si>
  <si>
    <t xml:space="preserve">Notes – Methodology, Review Findings &amp; Change Log</t>
  </si>
  <si>
    <t xml:space="preserve">What changed versus the original model and why.</t>
  </si>
  <si>
    <t xml:space="preserve">MODEL STRUCTURE</t>
  </si>
  <si>
    <t xml:space="preserve">Flow</t>
  </si>
  <si>
    <t xml:space="preserve">Assumptions → Capex → Cash Flow (Option 1, Option 2, incremental) → Sensitivity → Dashboard. No hard-coded numbers outside Assumptions/Capex.</t>
  </si>
  <si>
    <t xml:space="preserve">Colour code</t>
  </si>
  <si>
    <t xml:space="preserve">Blue text = input · black = formula · yellow fill = key driver. Outputs shown in VND million (number format scales by 1,000,000; cells hold full VND).</t>
  </si>
  <si>
    <t xml:space="preserve">Timing</t>
  </si>
  <si>
    <t xml:space="preserve">Annual periods. Year 0 = 5-month construction (undiscounted); Year 1 starts at handover. Contractor retention released in Year 1.</t>
  </si>
  <si>
    <t xml:space="preserve">Unlevered, pre-income-tax at owner level except the 10% leasing taxes on revenue. Land is owner-contributed and excluded from capex.</t>
  </si>
  <si>
    <t xml:space="preserve">LOGIC FIXES vs ORIGINAL</t>
  </si>
  <si>
    <t xml:space="preserve">1. Leasing taxes</t>
  </si>
  <si>
    <t xml:space="preserve">Original: 0%. Now 10% of revenue (5% VAT + 5% PIT for an individual lessor above the 100m VND/yr threshold). Largest single correction.</t>
  </si>
  <si>
    <t xml:space="preserve">2. Room-driven opex</t>
  </si>
  <si>
    <t xml:space="preserve">Original opex was almost identical for 6 vs 8 rooms. Added per-occupied-room housekeeping/consumables and per-room internet so Option 2 bears its own servicing cost.</t>
  </si>
  <si>
    <t xml:space="preserve">3. Exit value</t>
  </si>
  <si>
    <t xml:space="preserve">Original: Year-10 NOI ÷ 8% (≈ half of total value, and implicitly includes land that was never in capex). Now a selector: (1) cap-rate sale on forward NOI less 2% selling costs, (2) BASE – Year-11+ cash flow valued over the building's remaining 30-year life at the project discount rate (excludes perpetual land value), (3) depreciated building cost, (4) none.</t>
  </si>
  <si>
    <t xml:space="preserve">4. Payback</t>
  </si>
  <si>
    <t xml:space="preserve">Original payback was read from cumulative cash flow including the exit value, so Option 1 showed 'Year 10'. Now measured on operating cash flow before exit, plus a discounted payback.</t>
  </si>
  <si>
    <t xml:space="preserve">5. Missing costs</t>
  </si>
  <si>
    <t xml:space="preserve">Added FF&amp;E replacement reserve (3%), elevator maintenance, realistic brokerage (4% vs 1%), contractor retention, pre-opening costs.</t>
  </si>
  <si>
    <t xml:space="preserve">6. VAT &amp; contingency</t>
  </si>
  <si>
    <t xml:space="preserve">VAT now applies only to flagged lines (permits/fees excluded). Contingency split: 10% construction &amp; systems, 5% other (was flat 5%).</t>
  </si>
  <si>
    <t xml:space="preserve">7. Occupancy ramp</t>
  </si>
  <si>
    <t xml:space="preserve">Added a Year-2 step (78% → 86% → 90%) instead of jumping to stabilised in Year 2.</t>
  </si>
  <si>
    <t xml:space="preserve">9. Management cost</t>
  </si>
  <si>
    <t xml:space="preserve">Original charged a flat 120m/yr 'annual management fee' plus 8m/month property management (≈40% of Option 1 revenue). Replaced by an 8%-of-revenue operator fee + 6m/month caretaker. Revert on Assumptions if the 120m fee is contractual.</t>
  </si>
  <si>
    <t xml:space="preserve">10. Rent re-basing</t>
  </si>
  <si>
    <t xml:space="preserve">Rents set to 11.5m / 8.0m (base) for furnished, serviced rooms with elevator access, inside the comparable bands; Downside/Upside cases via the scenario selector (Assumptions!C5).</t>
  </si>
  <si>
    <t xml:space="preserve">8. Formula bugs</t>
  </si>
  <si>
    <t xml:space="preserve">Selected-large-rooms formula compared against a non-existent label ('Option 1 – 7 Rooms'). Removed the 'selected option' duplicate block entirely: both options now run side by side through one engine.</t>
  </si>
  <si>
    <t xml:space="preserve">PRESENTATION CHANGES</t>
  </si>
  <si>
    <t xml:space="preserve">Dashboard</t>
  </si>
  <si>
    <t xml:space="preserve">KPI tiles, option comparison, dynamic takeaways and four charts (payback curve, NOI, capex mix, revenue vs costs).</t>
  </si>
  <si>
    <t xml:space="preserve">Sensitivity</t>
  </si>
  <si>
    <t xml:space="preserve">Rent × occupancy grids for both options, discount rate × cap rate grid, one-way tornado – all live formulas.</t>
  </si>
  <si>
    <t xml:space="preserve">Integrity checks</t>
  </si>
  <si>
    <t xml:space="preserve">Payment schedules sum to 100%, drawdown reconciles to total capex, sensitivity engine reconciles to Cash Flow NPV.</t>
  </si>
  <si>
    <t xml:space="preserve">ANONYMISATION</t>
  </si>
  <si>
    <t xml:space="preserve">Method</t>
  </si>
  <si>
    <t xml:space="preserve">Every quantity, unit cost, rate and area was perturbed by roughly ±3–8% and rounded. Street names, owner names and the project code were removed; comparables renamed A–E.</t>
  </si>
  <si>
    <t xml:space="preserve">Use</t>
  </si>
  <si>
    <t xml:space="preserve">Figures are illustrative of the analytical approach, not the client's actual budget or returns.</t>
  </si>
  <si>
    <t xml:space="preserve">SOURCES</t>
  </si>
  <si>
    <t xml:space="preserve">Leasing tax</t>
  </si>
  <si>
    <t xml:space="preserve">Vietnam: individuals leasing property with annual revenue &gt;100m VND pay 5% VAT + 5% PIT (Circular 40/2021/TT-BTC). e.g. lawnet.vn, vietnam-briefing.com.</t>
  </si>
  <si>
    <t xml:space="preserve">Model conventions</t>
  </si>
  <si>
    <t xml:space="preserve">FF&amp;E reserve, forward-NOI exit and selling-cost conventions follow standard real-estate development models (e.g. A.CRE development model templates).</t>
  </si>
  <si>
    <t xml:space="preserve">NEXT STEPS</t>
  </si>
  <si>
    <t xml:space="preserve">Financing</t>
  </si>
  <si>
    <t xml:space="preserve">Add an optional bank-loan tab (LTC, rate, tenor) to show levered IRR and DSCR.</t>
  </si>
  <si>
    <t xml:space="preserve">Monthly model</t>
  </si>
  <si>
    <t xml:space="preserve">If the case needs lease-up detail, convert Year 1 to monthly periods.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</si>
</sst>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#,##0,,;\(#,##0,,\);\-"/>
    <numFmt numFmtId="166" formatCode="0.0%;\(0.0%\);\-"/>
    <numFmt numFmtId="167" formatCode="0"/>
    <numFmt numFmtId="168" formatCode="\+0.0%;\-0.0%;0.0%"/>
    <numFmt numFmtId="169" formatCode="0.0&quot; yrs&quot;;;&quot;&gt; 10 yrs&quot;"/>
    <numFmt numFmtId="170" formatCode="#,##0,,"/>
    <numFmt numFmtId="171" formatCode="#,##0;\(#,##0\);\-"/>
    <numFmt numFmtId="172" formatCode="#,##0.0"/>
    <numFmt numFmtId="173" formatCode="0%"/>
    <numFmt numFmtId="174" formatCode="0%;\-0%;\-"/>
    <numFmt numFmtId="175" formatCode="#,##0.0,,;\(#,##0.0,,\);\-"/>
    <numFmt numFmtId="176" formatCode="0.000"/>
    <numFmt numFmtId="177" formatCode="0.0"/>
    <numFmt numFmtId="178" formatCode="\+0%;\-0%;0%"/>
    <numFmt numFmtId="179" formatCode="0.0%"/>
    <numFmt numFmtId="180" formatCode="#,##0,,\m"/>
  </numFmts>
  <fonts count="3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9"/>
      <color rgb="FF2E75B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20"/>
      <color rgb="FF1F3864"/>
      <name val="Arial"/>
      <family val="0"/>
      <charset val="1"/>
    </font>
    <font>
      <sz val="8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9"/>
      <name val="Arial"/>
      <family val="0"/>
      <charset val="1"/>
    </font>
    <font>
      <i val="true"/>
      <sz val="8"/>
      <color rgb="FF7F7F7F"/>
      <name val="Arial"/>
      <family val="0"/>
      <charset val="1"/>
    </font>
    <font>
      <b val="true"/>
      <sz val="11"/>
      <color rgb="FF1F3864"/>
      <name val="Arial"/>
      <family val="2"/>
    </font>
    <font>
      <sz val="10"/>
      <color rgb="FF000000"/>
      <name val="Calibri"/>
      <family val="2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95959"/>
      <name val="Arial"/>
      <family val="0"/>
      <charset val="1"/>
    </font>
    <font>
      <b val="true"/>
      <i val="true"/>
      <sz val="10"/>
      <name val="Arial"/>
      <family val="0"/>
      <charset val="1"/>
    </font>
    <font>
      <sz val="9"/>
      <color rgb="FF7F7F7F"/>
      <name val="Arial"/>
      <family val="0"/>
      <charset val="1"/>
    </font>
    <font>
      <b val="true"/>
      <sz val="9"/>
      <color rgb="FF008000"/>
      <name val="Arial"/>
      <family val="0"/>
      <charset val="1"/>
    </font>
    <font>
      <i val="true"/>
      <sz val="9"/>
      <color rgb="FFFFFFFF"/>
      <name val="Arial"/>
      <family val="0"/>
      <charset val="1"/>
    </font>
    <font>
      <i val="true"/>
      <sz val="10"/>
      <name val="Arial"/>
      <family val="0"/>
      <charset val="1"/>
    </font>
    <font>
      <sz val="10"/>
      <name val="Arial"/>
      <family val="2"/>
    </font>
    <font>
      <b val="true"/>
      <sz val="1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8"/>
      <color rgb="FF7F7F7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EAF1FB"/>
        <bgColor rgb="FFDDEBF7"/>
      </patternFill>
    </fill>
    <fill>
      <patternFill patternType="solid">
        <fgColor rgb="FFDDEBF7"/>
        <bgColor rgb="FFEAF1FB"/>
      </patternFill>
    </fill>
    <fill>
      <patternFill patternType="solid">
        <fgColor rgb="FFFFF2CC"/>
        <bgColor rgb="FFF9F9F9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  <border diagonalUp="false" diagonalDown="false">
      <left/>
      <right/>
      <top style="thin"/>
      <bottom style="double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0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1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1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1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4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3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36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36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9" fontId="36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A5A5A5"/>
      <rgbColor rgb="FF993366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1FB"/>
      <rgbColor rgb="FFF9F9F9"/>
      <rgbColor rgb="FFFFFF99"/>
      <rgbColor rgb="FF99CCFF"/>
      <rgbColor rgb="FFFF99CC"/>
      <rgbColor rgb="FFCC99FF"/>
      <rgbColor rgb="FFF4B183"/>
      <rgbColor rgb="FF2E75B6"/>
      <rgbColor rgb="FF33CCCC"/>
      <rgbColor rgb="FF99CC00"/>
      <rgbColor rgb="FFFFC000"/>
      <rgbColor rgb="FFFF9900"/>
      <rgbColor rgb="FFFF6600"/>
      <rgbColor rgb="FF595959"/>
      <rgbColor rgb="FF878787"/>
      <rgbColor rgb="FF1F3864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00" spc="-1" strike="noStrike">
                <a:solidFill>
                  <a:srgbClr val="1f3864"/>
                </a:solidFill>
                <a:latin typeface="Arial"/>
              </a:defRPr>
            </a:pPr>
            <a:r>
              <a:rPr b="1" sz="1100" spc="-1" strike="noStrike">
                <a:solidFill>
                  <a:srgbClr val="1f3864"/>
                </a:solidFill>
                <a:latin typeface="Arial"/>
              </a:rPr>
              <a:t>Cumulative cash flow before exit value (VND 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"Option 1"</c:f>
              <c:strCache>
                <c:ptCount val="1"/>
                <c:pt idx="0">
                  <c:v>Option 1</c:v>
                </c:pt>
              </c:strCache>
            </c:strRef>
          </c:tx>
          <c:spPr>
            <a:solidFill>
              <a:srgbClr val="a5a5a5"/>
            </a:solidFill>
            <a:ln w="28080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Dashboard!$C$69:$M$69</c:f>
              <c:multiLvlStrCache>
                <c:ptCount val="1"/>
                <c:lvl>
                  <c:pt idx="0">
                    <c:v>Y10</c:v>
                  </c:pt>
                </c:lvl>
                <c:lvl>
                  <c:pt idx="0">
                    <c:v>Y9</c:v>
                  </c:pt>
                </c:lvl>
                <c:lvl>
                  <c:pt idx="0">
                    <c:v>Y8</c:v>
                  </c:pt>
                </c:lvl>
                <c:lvl>
                  <c:pt idx="0">
                    <c:v>Y7</c:v>
                  </c:pt>
                </c:lvl>
                <c:lvl>
                  <c:pt idx="0">
                    <c:v>Y6</c:v>
                  </c:pt>
                </c:lvl>
                <c:lvl>
                  <c:pt idx="0">
                    <c:v>Y5</c:v>
                  </c:pt>
                </c:lvl>
                <c:lvl>
                  <c:pt idx="0">
                    <c:v>Y4</c:v>
                  </c:pt>
                </c:lvl>
                <c:lvl>
                  <c:pt idx="0">
                    <c:v>Y3</c:v>
                  </c:pt>
                </c:lvl>
                <c:lvl>
                  <c:pt idx="0">
                    <c:v>Y2</c:v>
                  </c:pt>
                </c:lvl>
                <c:lvl>
                  <c:pt idx="0">
                    <c:v>Y1</c:v>
                  </c:pt>
                </c:lvl>
                <c:lvl>
                  <c:pt idx="0">
                    <c:v>Y0</c:v>
                  </c:pt>
                </c:lvl>
              </c:multiLvlStrCache>
            </c:multiLvlStrRef>
          </c:cat>
          <c:val>
            <c:numRef>
              <c:f>Dashboard!$C$70:$M$70</c:f>
              <c:numCache>
                <c:formatCode>#,##0,,;\(#,##0,,\);\-</c:formatCode>
                <c:ptCount val="11"/>
                <c:pt idx="0">
                  <c:v>-3892019835.94653</c:v>
                </c:pt>
                <c:pt idx="1">
                  <c:v>-3838554741.95396</c:v>
                </c:pt>
                <c:pt idx="2">
                  <c:v>-3583838314.11396</c:v>
                </c:pt>
                <c:pt idx="3">
                  <c:v>-3297942111.52996</c:v>
                </c:pt>
                <c:pt idx="4">
                  <c:v>-3001839986.7596</c:v>
                </c:pt>
                <c:pt idx="5">
                  <c:v>-2695179049.58169</c:v>
                </c:pt>
                <c:pt idx="6">
                  <c:v>-2377594784.76618</c:v>
                </c:pt>
                <c:pt idx="7">
                  <c:v>-2048710699.15078</c:v>
                </c:pt>
                <c:pt idx="8">
                  <c:v>-1708137959.64419</c:v>
                </c:pt>
                <c:pt idx="9">
                  <c:v>-1355475022.01974</c:v>
                </c:pt>
                <c:pt idx="10">
                  <c:v>-990307250.368544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"Option 2"</c:f>
              <c:strCache>
                <c:ptCount val="1"/>
                <c:pt idx="0">
                  <c:v>Option 2</c:v>
                </c:pt>
              </c:strCache>
            </c:strRef>
          </c:tx>
          <c:spPr>
            <a:solidFill>
              <a:srgbClr val="1f3864"/>
            </a:solidFill>
            <a:ln w="28080">
              <a:solidFill>
                <a:srgbClr val="1f386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Dashboard!$C$69:$M$69</c:f>
              <c:multiLvlStrCache>
                <c:ptCount val="1"/>
                <c:lvl>
                  <c:pt idx="0">
                    <c:v>Y10</c:v>
                  </c:pt>
                </c:lvl>
                <c:lvl>
                  <c:pt idx="0">
                    <c:v>Y9</c:v>
                  </c:pt>
                </c:lvl>
                <c:lvl>
                  <c:pt idx="0">
                    <c:v>Y8</c:v>
                  </c:pt>
                </c:lvl>
                <c:lvl>
                  <c:pt idx="0">
                    <c:v>Y7</c:v>
                  </c:pt>
                </c:lvl>
                <c:lvl>
                  <c:pt idx="0">
                    <c:v>Y6</c:v>
                  </c:pt>
                </c:lvl>
                <c:lvl>
                  <c:pt idx="0">
                    <c:v>Y5</c:v>
                  </c:pt>
                </c:lvl>
                <c:lvl>
                  <c:pt idx="0">
                    <c:v>Y4</c:v>
                  </c:pt>
                </c:lvl>
                <c:lvl>
                  <c:pt idx="0">
                    <c:v>Y3</c:v>
                  </c:pt>
                </c:lvl>
                <c:lvl>
                  <c:pt idx="0">
                    <c:v>Y2</c:v>
                  </c:pt>
                </c:lvl>
                <c:lvl>
                  <c:pt idx="0">
                    <c:v>Y1</c:v>
                  </c:pt>
                </c:lvl>
                <c:lvl>
                  <c:pt idx="0">
                    <c:v>Y0</c:v>
                  </c:pt>
                </c:lvl>
              </c:multiLvlStrCache>
            </c:multiLvlStrRef>
          </c:cat>
          <c:val>
            <c:numRef>
              <c:f>Dashboard!$C$71:$M$71</c:f>
              <c:numCache>
                <c:formatCode>#,##0,,;\(#,##0,,\);\-</c:formatCode>
                <c:ptCount val="11"/>
                <c:pt idx="0">
                  <c:v>-4441784336.20874</c:v>
                </c:pt>
                <c:pt idx="1">
                  <c:v>-4314139231.67222</c:v>
                </c:pt>
                <c:pt idx="2">
                  <c:v>-3947207446.71222</c:v>
                </c:pt>
                <c:pt idx="3">
                  <c:v>-3539069059.41622</c:v>
                </c:pt>
                <c:pt idx="4">
                  <c:v>-3115910150.18438</c:v>
                </c:pt>
                <c:pt idx="5">
                  <c:v>-2677188623.74928</c:v>
                </c:pt>
                <c:pt idx="6">
                  <c:v>-2222343343.68528</c:v>
                </c:pt>
                <c:pt idx="7">
                  <c:v>-1750793489.68148</c:v>
                </c:pt>
                <c:pt idx="8">
                  <c:v>-1261937894.45713</c:v>
                </c:pt>
                <c:pt idx="9">
                  <c:v>-755154359.745691</c:v>
                </c:pt>
                <c:pt idx="10">
                  <c:v>-229798950.762155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39299030"/>
        <c:axId val="32663858"/>
      </c:lineChart>
      <c:catAx>
        <c:axId val="3929903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663858"/>
        <c:crosses val="autoZero"/>
        <c:auto val="1"/>
        <c:lblAlgn val="ctr"/>
        <c:lblOffset val="100"/>
        <c:noMultiLvlLbl val="0"/>
      </c:catAx>
      <c:valAx>
        <c:axId val="3266385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,,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29903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00" spc="-1" strike="noStrike">
                <a:solidFill>
                  <a:srgbClr val="1f3864"/>
                </a:solidFill>
                <a:latin typeface="Arial"/>
              </a:defRPr>
            </a:pPr>
            <a:r>
              <a:rPr b="1" sz="1100" spc="-1" strike="noStrike">
                <a:solidFill>
                  <a:srgbClr val="1f3864"/>
                </a:solidFill>
                <a:latin typeface="Arial"/>
              </a:rPr>
              <a:t>Annual NOI (VND 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"Option 1"</c:f>
              <c:strCache>
                <c:ptCount val="1"/>
                <c:pt idx="0">
                  <c:v>Option 1</c:v>
                </c:pt>
              </c:strCache>
            </c:strRef>
          </c:tx>
          <c:spPr>
            <a:solidFill>
              <a:srgbClr val="a5a5a5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Dashboard!$D$69:$M$69</c:f>
              <c:multiLvlStrCache>
                <c:ptCount val="1"/>
                <c:lvl>
                  <c:pt idx="0">
                    <c:v>Y10</c:v>
                  </c:pt>
                </c:lvl>
                <c:lvl>
                  <c:pt idx="0">
                    <c:v>Y9</c:v>
                  </c:pt>
                </c:lvl>
                <c:lvl>
                  <c:pt idx="0">
                    <c:v>Y8</c:v>
                  </c:pt>
                </c:lvl>
                <c:lvl>
                  <c:pt idx="0">
                    <c:v>Y7</c:v>
                  </c:pt>
                </c:lvl>
                <c:lvl>
                  <c:pt idx="0">
                    <c:v>Y6</c:v>
                  </c:pt>
                </c:lvl>
                <c:lvl>
                  <c:pt idx="0">
                    <c:v>Y5</c:v>
                  </c:pt>
                </c:lvl>
                <c:lvl>
                  <c:pt idx="0">
                    <c:v>Y4</c:v>
                  </c:pt>
                </c:lvl>
                <c:lvl>
                  <c:pt idx="0">
                    <c:v>Y3</c:v>
                  </c:pt>
                </c:lvl>
                <c:lvl>
                  <c:pt idx="0">
                    <c:v>Y2</c:v>
                  </c:pt>
                </c:lvl>
                <c:lvl>
                  <c:pt idx="0">
                    <c:v>Y1</c:v>
                  </c:pt>
                </c:lvl>
              </c:multiLvlStrCache>
            </c:multiLvlStrRef>
          </c:cat>
          <c:val>
            <c:numRef>
              <c:f>Dashboard!$D$72:$M$72</c:f>
              <c:numCache>
                <c:formatCode>#,##0,,;\(#,##0,,\);\-</c:formatCode>
                <c:ptCount val="10"/>
                <c:pt idx="0">
                  <c:v>222749600</c:v>
                </c:pt>
                <c:pt idx="1">
                  <c:v>275078696</c:v>
                </c:pt>
                <c:pt idx="2">
                  <c:v>308057927</c:v>
                </c:pt>
                <c:pt idx="3">
                  <c:v>319150318.163</c:v>
                </c:pt>
                <c:pt idx="4">
                  <c:v>330631058.306255</c:v>
                </c:pt>
                <c:pt idx="5">
                  <c:v>342513190.788993</c:v>
                </c:pt>
                <c:pt idx="6">
                  <c:v>354810168.627813</c:v>
                </c:pt>
                <c:pt idx="7">
                  <c:v>367535865.839513</c:v>
                </c:pt>
                <c:pt idx="8">
                  <c:v>380704589.010676</c:v>
                </c:pt>
                <c:pt idx="9">
                  <c:v>394331089.092878</c:v>
                </c:pt>
              </c:numCache>
            </c:numRef>
          </c:val>
        </c:ser>
        <c:ser>
          <c:idx val="1"/>
          <c:order val="1"/>
          <c:tx>
            <c:strRef>
              <c:f>"Option 2"</c:f>
              <c:strCache>
                <c:ptCount val="1"/>
                <c:pt idx="0">
                  <c:v>Option 2</c:v>
                </c:pt>
              </c:strCache>
            </c:strRef>
          </c:tx>
          <c:spPr>
            <a:solidFill>
              <a:srgbClr val="1f386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Dashboard!$D$69:$M$69</c:f>
              <c:multiLvlStrCache>
                <c:ptCount val="1"/>
                <c:lvl>
                  <c:pt idx="0">
                    <c:v>Y10</c:v>
                  </c:pt>
                </c:lvl>
                <c:lvl>
                  <c:pt idx="0">
                    <c:v>Y9</c:v>
                  </c:pt>
                </c:lvl>
                <c:lvl>
                  <c:pt idx="0">
                    <c:v>Y8</c:v>
                  </c:pt>
                </c:lvl>
                <c:lvl>
                  <c:pt idx="0">
                    <c:v>Y7</c:v>
                  </c:pt>
                </c:lvl>
                <c:lvl>
                  <c:pt idx="0">
                    <c:v>Y6</c:v>
                  </c:pt>
                </c:lvl>
                <c:lvl>
                  <c:pt idx="0">
                    <c:v>Y5</c:v>
                  </c:pt>
                </c:lvl>
                <c:lvl>
                  <c:pt idx="0">
                    <c:v>Y4</c:v>
                  </c:pt>
                </c:lvl>
                <c:lvl>
                  <c:pt idx="0">
                    <c:v>Y3</c:v>
                  </c:pt>
                </c:lvl>
                <c:lvl>
                  <c:pt idx="0">
                    <c:v>Y2</c:v>
                  </c:pt>
                </c:lvl>
                <c:lvl>
                  <c:pt idx="0">
                    <c:v>Y1</c:v>
                  </c:pt>
                </c:lvl>
              </c:multiLvlStrCache>
            </c:multiLvlStrRef>
          </c:cat>
          <c:val>
            <c:numRef>
              <c:f>Dashboard!$D$73:$M$73</c:f>
              <c:numCache>
                <c:formatCode>#,##0,,;\(#,##0,,\);\-</c:formatCode>
                <c:ptCount val="10"/>
                <c:pt idx="0">
                  <c:v>324917600</c:v>
                </c:pt>
                <c:pt idx="1">
                  <c:v>392548832</c:v>
                </c:pt>
                <c:pt idx="2">
                  <c:v>436019266.4</c:v>
                </c:pt>
                <c:pt idx="3">
                  <c:v>452155023.5</c:v>
                </c:pt>
                <c:pt idx="4">
                  <c:v>468877485.27398</c:v>
                </c:pt>
                <c:pt idx="5">
                  <c:v>486207477.256448</c:v>
                </c:pt>
                <c:pt idx="6">
                  <c:v>504166539.083934</c:v>
                </c:pt>
                <c:pt idx="7">
                  <c:v>522776947.707693</c:v>
                </c:pt>
                <c:pt idx="8">
                  <c:v>542061741.294121</c:v>
                </c:pt>
                <c:pt idx="9">
                  <c:v>562044743.829522</c:v>
                </c:pt>
              </c:numCache>
            </c:numRef>
          </c:val>
        </c:ser>
        <c:gapWidth val="150"/>
        <c:overlap val="0"/>
        <c:axId val="16806057"/>
        <c:axId val="21613215"/>
      </c:barChart>
      <c:catAx>
        <c:axId val="1680605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613215"/>
        <c:crosses val="autoZero"/>
        <c:auto val="1"/>
        <c:lblAlgn val="ctr"/>
        <c:lblOffset val="100"/>
        <c:noMultiLvlLbl val="0"/>
      </c:catAx>
      <c:valAx>
        <c:axId val="2161321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,,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80605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00" spc="-1" strike="noStrike">
                <a:solidFill>
                  <a:srgbClr val="1f3864"/>
                </a:solidFill>
                <a:latin typeface="Arial"/>
              </a:defRPr>
            </a:pPr>
            <a:r>
              <a:rPr b="1" sz="1100" spc="-1" strike="noStrike">
                <a:solidFill>
                  <a:srgbClr val="1f3864"/>
                </a:solidFill>
                <a:latin typeface="Arial"/>
              </a:rPr>
              <a:t>Capex by category (VND 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"Option 1"</c:f>
              <c:strCache>
                <c:ptCount val="1"/>
                <c:pt idx="0">
                  <c:v>Option 1</c:v>
                </c:pt>
              </c:strCache>
            </c:strRef>
          </c:tx>
          <c:spPr>
            <a:solidFill>
              <a:srgbClr val="a5a5a5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Dashboard!$B$78:$B$84</c:f>
              <c:strCache>
                <c:ptCount val="7"/>
                <c:pt idx="0">
                  <c:v>Soft costs (permits, supervision, design)</c:v>
                </c:pt>
                <c:pt idx="1">
                  <c:v>Construction (turnkey + finishing)</c:v>
                </c:pt>
                <c:pt idx="2">
                  <c:v>Building systems (elevator, CCTV, locks)</c:v>
                </c:pt>
                <c:pt idx="3">
                  <c:v>Furniture, fixtures &amp; equipment</c:v>
                </c:pt>
                <c:pt idx="4">
                  <c:v>Pre-opening</c:v>
                </c:pt>
                <c:pt idx="5">
                  <c:v>VAT</c:v>
                </c:pt>
                <c:pt idx="6">
                  <c:v>Contingency</c:v>
                </c:pt>
              </c:strCache>
            </c:strRef>
          </c:cat>
          <c:val>
            <c:numRef>
              <c:f>Dashboard!$C$78:$C$84</c:f>
              <c:numCache>
                <c:formatCode>#,##0,,;\(#,##0,,\);\-</c:formatCode>
                <c:ptCount val="7"/>
                <c:pt idx="0">
                  <c:v>145000000</c:v>
                </c:pt>
                <c:pt idx="1">
                  <c:v>2585470000</c:v>
                </c:pt>
                <c:pt idx="2">
                  <c:v>364500000</c:v>
                </c:pt>
                <c:pt idx="3">
                  <c:v>318400000</c:v>
                </c:pt>
                <c:pt idx="4">
                  <c:v>25000000</c:v>
                </c:pt>
                <c:pt idx="5">
                  <c:v>261469600</c:v>
                </c:pt>
                <c:pt idx="6">
                  <c:v>343706949.953961</c:v>
                </c:pt>
              </c:numCache>
            </c:numRef>
          </c:val>
        </c:ser>
        <c:ser>
          <c:idx val="1"/>
          <c:order val="1"/>
          <c:tx>
            <c:strRef>
              <c:f>"Option 2"</c:f>
              <c:strCache>
                <c:ptCount val="1"/>
                <c:pt idx="0">
                  <c:v>Option 2</c:v>
                </c:pt>
              </c:strCache>
            </c:strRef>
          </c:tx>
          <c:spPr>
            <a:solidFill>
              <a:srgbClr val="1f386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Dashboard!$B$78:$B$84</c:f>
              <c:strCache>
                <c:ptCount val="7"/>
                <c:pt idx="0">
                  <c:v>Soft costs (permits, supervision, design)</c:v>
                </c:pt>
                <c:pt idx="1">
                  <c:v>Construction (turnkey + finishing)</c:v>
                </c:pt>
                <c:pt idx="2">
                  <c:v>Building systems (elevator, CCTV, locks)</c:v>
                </c:pt>
                <c:pt idx="3">
                  <c:v>Furniture, fixtures &amp; equipment</c:v>
                </c:pt>
                <c:pt idx="4">
                  <c:v>Pre-opening</c:v>
                </c:pt>
                <c:pt idx="5">
                  <c:v>VAT</c:v>
                </c:pt>
                <c:pt idx="6">
                  <c:v>Contingency</c:v>
                </c:pt>
              </c:strCache>
            </c:strRef>
          </c:cat>
          <c:val>
            <c:numRef>
              <c:f>Dashboard!$D$78:$D$84</c:f>
              <c:numCache>
                <c:formatCode>#,##0,,;\(#,##0,,\);\-</c:formatCode>
                <c:ptCount val="7"/>
                <c:pt idx="0">
                  <c:v>145000000</c:v>
                </c:pt>
                <c:pt idx="1">
                  <c:v>2982770000</c:v>
                </c:pt>
                <c:pt idx="2">
                  <c:v>367000000</c:v>
                </c:pt>
                <c:pt idx="3">
                  <c:v>405000000</c:v>
                </c:pt>
                <c:pt idx="4">
                  <c:v>25000000</c:v>
                </c:pt>
                <c:pt idx="5">
                  <c:v>300381600</c:v>
                </c:pt>
                <c:pt idx="6">
                  <c:v>391564783.672215</c:v>
                </c:pt>
              </c:numCache>
            </c:numRef>
          </c:val>
        </c:ser>
        <c:gapWidth val="150"/>
        <c:overlap val="0"/>
        <c:axId val="45680413"/>
        <c:axId val="97165690"/>
      </c:barChart>
      <c:catAx>
        <c:axId val="456804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165690"/>
        <c:crosses val="autoZero"/>
        <c:auto val="1"/>
        <c:lblAlgn val="ctr"/>
        <c:lblOffset val="100"/>
        <c:noMultiLvlLbl val="0"/>
      </c:catAx>
      <c:valAx>
        <c:axId val="9716569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,,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68041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00" spc="-1" strike="noStrike">
                <a:solidFill>
                  <a:srgbClr val="1f3864"/>
                </a:solidFill>
                <a:latin typeface="Arial"/>
              </a:defRPr>
            </a:pPr>
            <a:r>
              <a:rPr b="1" sz="1100" spc="-1" strike="noStrike">
                <a:solidFill>
                  <a:srgbClr val="1f3864"/>
                </a:solidFill>
                <a:latin typeface="Arial"/>
              </a:rPr>
              <a:t>Option 2 – revenue vs operating costs (VND 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"Revenue"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2e75b6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Dashboard!$D$69:$M$69</c:f>
              <c:multiLvlStrCache>
                <c:ptCount val="1"/>
                <c:lvl>
                  <c:pt idx="0">
                    <c:v>Y10</c:v>
                  </c:pt>
                </c:lvl>
                <c:lvl>
                  <c:pt idx="0">
                    <c:v>Y9</c:v>
                  </c:pt>
                </c:lvl>
                <c:lvl>
                  <c:pt idx="0">
                    <c:v>Y8</c:v>
                  </c:pt>
                </c:lvl>
                <c:lvl>
                  <c:pt idx="0">
                    <c:v>Y7</c:v>
                  </c:pt>
                </c:lvl>
                <c:lvl>
                  <c:pt idx="0">
                    <c:v>Y6</c:v>
                  </c:pt>
                </c:lvl>
                <c:lvl>
                  <c:pt idx="0">
                    <c:v>Y5</c:v>
                  </c:pt>
                </c:lvl>
                <c:lvl>
                  <c:pt idx="0">
                    <c:v>Y4</c:v>
                  </c:pt>
                </c:lvl>
                <c:lvl>
                  <c:pt idx="0">
                    <c:v>Y3</c:v>
                  </c:pt>
                </c:lvl>
                <c:lvl>
                  <c:pt idx="0">
                    <c:v>Y2</c:v>
                  </c:pt>
                </c:lvl>
                <c:lvl>
                  <c:pt idx="0">
                    <c:v>Y1</c:v>
                  </c:pt>
                </c:lvl>
              </c:multiLvlStrCache>
            </c:multiLvlStrRef>
          </c:cat>
          <c:val>
            <c:numRef>
              <c:f>Dashboard!$D$74:$M$74</c:f>
              <c:numCache>
                <c:formatCode>#,##0,,;\(#,##0,,\);\-</c:formatCode>
                <c:ptCount val="10"/>
                <c:pt idx="0">
                  <c:v>744681600</c:v>
                </c:pt>
                <c:pt idx="1">
                  <c:v>853901568</c:v>
                </c:pt>
                <c:pt idx="2">
                  <c:v>929362636.8</c:v>
                </c:pt>
                <c:pt idx="3">
                  <c:v>966537142.272</c:v>
                </c:pt>
                <c:pt idx="4">
                  <c:v>1005198627.96288</c:v>
                </c:pt>
                <c:pt idx="5">
                  <c:v>1045406573.0814</c:v>
                </c:pt>
                <c:pt idx="6">
                  <c:v>1087222836.00465</c:v>
                </c:pt>
                <c:pt idx="7">
                  <c:v>1130711749.44484</c:v>
                </c:pt>
                <c:pt idx="8">
                  <c:v>1175940219.42263</c:v>
                </c:pt>
                <c:pt idx="9">
                  <c:v>1222977828.19954</c:v>
                </c:pt>
              </c:numCache>
            </c:numRef>
          </c:val>
        </c:ser>
        <c:ser>
          <c:idx val="1"/>
          <c:order val="1"/>
          <c:tx>
            <c:strRef>
              <c:f>"Operating costs"</c:f>
              <c:strCache>
                <c:ptCount val="1"/>
                <c:pt idx="0">
                  <c:v>Operating costs</c:v>
                </c:pt>
              </c:strCache>
            </c:strRef>
          </c:tx>
          <c:spPr>
            <a:solidFill>
              <a:srgbClr val="f4b18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Dashboard!$D$69:$M$69</c:f>
              <c:multiLvlStrCache>
                <c:ptCount val="1"/>
                <c:lvl>
                  <c:pt idx="0">
                    <c:v>Y10</c:v>
                  </c:pt>
                </c:lvl>
                <c:lvl>
                  <c:pt idx="0">
                    <c:v>Y9</c:v>
                  </c:pt>
                </c:lvl>
                <c:lvl>
                  <c:pt idx="0">
                    <c:v>Y8</c:v>
                  </c:pt>
                </c:lvl>
                <c:lvl>
                  <c:pt idx="0">
                    <c:v>Y7</c:v>
                  </c:pt>
                </c:lvl>
                <c:lvl>
                  <c:pt idx="0">
                    <c:v>Y6</c:v>
                  </c:pt>
                </c:lvl>
                <c:lvl>
                  <c:pt idx="0">
                    <c:v>Y5</c:v>
                  </c:pt>
                </c:lvl>
                <c:lvl>
                  <c:pt idx="0">
                    <c:v>Y4</c:v>
                  </c:pt>
                </c:lvl>
                <c:lvl>
                  <c:pt idx="0">
                    <c:v>Y3</c:v>
                  </c:pt>
                </c:lvl>
                <c:lvl>
                  <c:pt idx="0">
                    <c:v>Y2</c:v>
                  </c:pt>
                </c:lvl>
                <c:lvl>
                  <c:pt idx="0">
                    <c:v>Y1</c:v>
                  </c:pt>
                </c:lvl>
              </c:multiLvlStrCache>
            </c:multiLvlStrRef>
          </c:cat>
          <c:val>
            <c:numRef>
              <c:f>Dashboard!$D$75:$M$75</c:f>
              <c:numCache>
                <c:formatCode>#,##0,,;\(#,##0,,\);\-</c:formatCode>
                <c:ptCount val="10"/>
                <c:pt idx="0">
                  <c:v>419764000</c:v>
                </c:pt>
                <c:pt idx="1">
                  <c:v>461352736</c:v>
                </c:pt>
                <c:pt idx="2">
                  <c:v>493343370.4</c:v>
                </c:pt>
                <c:pt idx="3">
                  <c:v>514382118.772</c:v>
                </c:pt>
                <c:pt idx="4">
                  <c:v>536321142.6889</c:v>
                </c:pt>
                <c:pt idx="5">
                  <c:v>559199095.824947</c:v>
                </c:pt>
                <c:pt idx="6">
                  <c:v>583056296.920718</c:v>
                </c:pt>
                <c:pt idx="7">
                  <c:v>607934801.737144</c:v>
                </c:pt>
                <c:pt idx="8">
                  <c:v>633878478.12851</c:v>
                </c:pt>
                <c:pt idx="9">
                  <c:v>660933084.370014</c:v>
                </c:pt>
              </c:numCache>
            </c:numRef>
          </c:val>
        </c:ser>
        <c:gapWidth val="150"/>
        <c:overlap val="0"/>
        <c:axId val="4204148"/>
        <c:axId val="14574192"/>
      </c:barChart>
      <c:catAx>
        <c:axId val="42041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574192"/>
        <c:crosses val="autoZero"/>
        <c:auto val="1"/>
        <c:lblAlgn val="ctr"/>
        <c:lblOffset val="100"/>
        <c:noMultiLvlLbl val="0"/>
      </c:catAx>
      <c:valAx>
        <c:axId val="1457419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,,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0414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00" spc="-1" strike="noStrike">
                <a:solidFill>
                  <a:srgbClr val="1f3864"/>
                </a:solidFill>
                <a:latin typeface="Arial"/>
              </a:defRPr>
            </a:pPr>
            <a:r>
              <a:rPr b="1" sz="1100" spc="-1" strike="noStrike">
                <a:solidFill>
                  <a:srgbClr val="1f3864"/>
                </a:solidFill>
                <a:latin typeface="Arial"/>
              </a:rPr>
              <a:t>Option 2 – NPV impact by driver vs base (VND 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Sensitivity!H46</c:f>
              <c:strCache>
                <c:ptCount val="1"/>
                <c:pt idx="0">
                  <c:v>Downside Δ</c:v>
                </c:pt>
              </c:strCache>
            </c:strRef>
          </c:tx>
          <c:spPr>
            <a:solidFill>
              <a:srgbClr val="c0000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Sensitivity!$B$47:$B$51</c:f>
              <c:strCache>
                <c:ptCount val="5"/>
                <c:pt idx="0">
                  <c:v>Rent ±10%</c:v>
                </c:pt>
                <c:pt idx="1">
                  <c:v>Stabilised occupancy ±5pp</c:v>
                </c:pt>
                <c:pt idx="2">
                  <c:v>Capex ±10%</c:v>
                </c:pt>
                <c:pt idx="3">
                  <c:v>Fixed operating costs ±10%</c:v>
                </c:pt>
                <c:pt idx="4">
                  <c:v>Discount rate ±2pp</c:v>
                </c:pt>
              </c:strCache>
            </c:strRef>
          </c:cat>
          <c:val>
            <c:numRef>
              <c:f>Sensitivity!$H$47:$H$51</c:f>
              <c:numCache>
                <c:formatCode>#,##0,,;\(#,##0,,\);\-</c:formatCode>
                <c:ptCount val="5"/>
                <c:pt idx="0">
                  <c:v>-723778505.281472</c:v>
                </c:pt>
                <c:pt idx="1">
                  <c:v>-374897940.305764</c:v>
                </c:pt>
                <c:pt idx="2">
                  <c:v>-459797366.430113</c:v>
                </c:pt>
                <c:pt idx="3">
                  <c:v>-242312969.841383</c:v>
                </c:pt>
                <c:pt idx="4">
                  <c:v>-776075135.945559</c:v>
                </c:pt>
              </c:numCache>
            </c:numRef>
          </c:val>
        </c:ser>
        <c:ser>
          <c:idx val="1"/>
          <c:order val="1"/>
          <c:tx>
            <c:strRef>
              <c:f>Sensitivity!I46</c:f>
              <c:strCache>
                <c:ptCount val="1"/>
                <c:pt idx="0">
                  <c:v>Upside Δ</c:v>
                </c:pt>
              </c:strCache>
            </c:strRef>
          </c:tx>
          <c:spPr>
            <a:solidFill>
              <a:srgbClr val="2e75b6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Sensitivity!$B$47:$B$51</c:f>
              <c:strCache>
                <c:ptCount val="5"/>
                <c:pt idx="0">
                  <c:v>Rent ±10%</c:v>
                </c:pt>
                <c:pt idx="1">
                  <c:v>Stabilised occupancy ±5pp</c:v>
                </c:pt>
                <c:pt idx="2">
                  <c:v>Capex ±10%</c:v>
                </c:pt>
                <c:pt idx="3">
                  <c:v>Fixed operating costs ±10%</c:v>
                </c:pt>
                <c:pt idx="4">
                  <c:v>Discount rate ±2pp</c:v>
                </c:pt>
              </c:strCache>
            </c:strRef>
          </c:cat>
          <c:val>
            <c:numRef>
              <c:f>Sensitivity!$I$47:$I$51</c:f>
              <c:numCache>
                <c:formatCode>#,##0,,;\(#,##0,,\);\-</c:formatCode>
                <c:ptCount val="5"/>
                <c:pt idx="0">
                  <c:v>723778505.281471</c:v>
                </c:pt>
                <c:pt idx="1">
                  <c:v>374897940.305764</c:v>
                </c:pt>
                <c:pt idx="2">
                  <c:v>459797366.430113</c:v>
                </c:pt>
                <c:pt idx="3">
                  <c:v>242312969.841382</c:v>
                </c:pt>
                <c:pt idx="4">
                  <c:v>1121024922.09903</c:v>
                </c:pt>
              </c:numCache>
            </c:numRef>
          </c:val>
        </c:ser>
        <c:gapWidth val="150"/>
        <c:overlap val="100"/>
        <c:axId val="20540819"/>
        <c:axId val="35100331"/>
      </c:barChart>
      <c:catAx>
        <c:axId val="205408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100331"/>
        <c:crosses val="autoZero"/>
        <c:auto val="1"/>
        <c:lblAlgn val="ctr"/>
        <c:lblOffset val="100"/>
        <c:noMultiLvlLbl val="0"/>
      </c:catAx>
      <c:valAx>
        <c:axId val="35100331"/>
        <c:scaling>
          <c:orientation val="minMax"/>
        </c:scaling>
        <c:delete val="0"/>
        <c:axPos val="l"/>
        <c:numFmt formatCode="#,##0,,\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54081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5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8</xdr:row>
      <xdr:rowOff>100800</xdr:rowOff>
    </xdr:from>
    <xdr:to>
      <xdr:col>12</xdr:col>
      <xdr:colOff>504720</xdr:colOff>
      <xdr:row>22</xdr:row>
      <xdr:rowOff>25560</xdr:rowOff>
    </xdr:to>
    <xdr:graphicFrame>
      <xdr:nvGraphicFramePr>
        <xdr:cNvPr id="0" name="Chart 1"/>
        <xdr:cNvGraphicFramePr/>
      </xdr:nvGraphicFramePr>
      <xdr:xfrm>
        <a:off x="6766560" y="1952640"/>
        <a:ext cx="557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23</xdr:row>
      <xdr:rowOff>100800</xdr:rowOff>
    </xdr:from>
    <xdr:to>
      <xdr:col>12</xdr:col>
      <xdr:colOff>504720</xdr:colOff>
      <xdr:row>33</xdr:row>
      <xdr:rowOff>25560</xdr:rowOff>
    </xdr:to>
    <xdr:graphicFrame>
      <xdr:nvGraphicFramePr>
        <xdr:cNvPr id="1" name="Chart 2"/>
        <xdr:cNvGraphicFramePr/>
      </xdr:nvGraphicFramePr>
      <xdr:xfrm>
        <a:off x="6766560" y="4809960"/>
        <a:ext cx="557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45</xdr:row>
      <xdr:rowOff>100800</xdr:rowOff>
    </xdr:from>
    <xdr:to>
      <xdr:col>4</xdr:col>
      <xdr:colOff>786960</xdr:colOff>
      <xdr:row>59</xdr:row>
      <xdr:rowOff>25560</xdr:rowOff>
    </xdr:to>
    <xdr:graphicFrame>
      <xdr:nvGraphicFramePr>
        <xdr:cNvPr id="2" name="Chart 3"/>
        <xdr:cNvGraphicFramePr/>
      </xdr:nvGraphicFramePr>
      <xdr:xfrm>
        <a:off x="141120" y="9953640"/>
        <a:ext cx="557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0</xdr:colOff>
      <xdr:row>45</xdr:row>
      <xdr:rowOff>100800</xdr:rowOff>
    </xdr:from>
    <xdr:to>
      <xdr:col>12</xdr:col>
      <xdr:colOff>504720</xdr:colOff>
      <xdr:row>59</xdr:row>
      <xdr:rowOff>25560</xdr:rowOff>
    </xdr:to>
    <xdr:graphicFrame>
      <xdr:nvGraphicFramePr>
        <xdr:cNvPr id="3" name="Chart 4"/>
        <xdr:cNvGraphicFramePr/>
      </xdr:nvGraphicFramePr>
      <xdr:xfrm>
        <a:off x="6766560" y="9953640"/>
        <a:ext cx="557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58</xdr:row>
      <xdr:rowOff>131040</xdr:rowOff>
    </xdr:from>
    <xdr:to>
      <xdr:col>6</xdr:col>
      <xdr:colOff>557640</xdr:colOff>
      <xdr:row>72</xdr:row>
      <xdr:rowOff>163440</xdr:rowOff>
    </xdr:to>
    <xdr:graphicFrame>
      <xdr:nvGraphicFramePr>
        <xdr:cNvPr id="4" name="Chart 1"/>
        <xdr:cNvGraphicFramePr/>
      </xdr:nvGraphicFramePr>
      <xdr:xfrm>
        <a:off x="141120" y="11239560"/>
        <a:ext cx="64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B2:N8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5" min="3" style="0" width="15"/>
    <col collapsed="false" customWidth="true" hidden="false" outlineLevel="0" max="6" min="6" style="0" width="11"/>
    <col collapsed="false" customWidth="true" hidden="false" outlineLevel="0" max="14" min="7" style="0" width="12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tr">
        <f aca="false">"Exit method in use: "&amp;CHOOSE(Assumptions!$C$60,"1 – cap-rate sale","2 – income over remaining building life (base)","3 – depreciated building cost","4 – none")&amp;"   ·   Scenario: "&amp;Assumptions!$D$5&amp;"   ·   Discount rate "&amp;TEXT(Assumptions!$C$59,"0%")</f>
        <v>Exit method in use: 2 – income over remaining building life (base)   ·   Scenario: Base   ·   Discount rate 12%</v>
      </c>
    </row>
    <row r="6" customFormat="false" ht="15" hidden="false" customHeight="false" outlineLevel="0" collapsed="false">
      <c r="B6" s="4" t="s">
        <v>2</v>
      </c>
      <c r="C6" s="4"/>
      <c r="D6" s="4" t="s">
        <v>3</v>
      </c>
      <c r="E6" s="4"/>
      <c r="F6" s="4"/>
      <c r="G6" s="4" t="s">
        <v>4</v>
      </c>
      <c r="H6" s="4"/>
      <c r="I6" s="4"/>
      <c r="J6" s="4" t="s">
        <v>5</v>
      </c>
      <c r="K6" s="4"/>
      <c r="L6" s="4"/>
    </row>
    <row r="7" customFormat="false" ht="33.75" hidden="false" customHeight="true" outlineLevel="0" collapsed="false">
      <c r="B7" s="5" t="n">
        <f aca="false">'Cash Flow'!$E$102</f>
        <v>4616716383.67222</v>
      </c>
      <c r="C7" s="5"/>
      <c r="D7" s="5" t="n">
        <f aca="false">'Cash Flow'!$E$107</f>
        <v>-272940437.211198</v>
      </c>
      <c r="E7" s="5"/>
      <c r="F7" s="5"/>
      <c r="G7" s="6" t="n">
        <f aca="false">'Cash Flow'!$E$108</f>
        <v>0.110625400380455</v>
      </c>
      <c r="H7" s="6"/>
      <c r="I7" s="6"/>
      <c r="J7" s="6" t="n">
        <f aca="false">'Cash Flow'!$F$120</f>
        <v>0.274182564638984</v>
      </c>
      <c r="K7" s="6"/>
      <c r="L7" s="6"/>
    </row>
    <row r="8" customFormat="false" ht="15" hidden="false" customHeight="false" outlineLevel="0" collapsed="false">
      <c r="B8" s="7" t="s">
        <v>6</v>
      </c>
      <c r="C8" s="7"/>
      <c r="D8" s="7" t="s">
        <v>6</v>
      </c>
      <c r="E8" s="7"/>
      <c r="F8" s="7"/>
      <c r="G8" s="7"/>
      <c r="H8" s="7"/>
      <c r="I8" s="7"/>
      <c r="J8" s="7"/>
      <c r="K8" s="7"/>
      <c r="L8" s="7"/>
    </row>
    <row r="10" customFormat="false" ht="15" hidden="false" customHeight="false" outlineLevel="0" collapsed="false">
      <c r="B10" s="8" t="s">
        <v>7</v>
      </c>
      <c r="C10" s="9"/>
      <c r="D10" s="9"/>
      <c r="E10" s="9"/>
    </row>
    <row r="11" customFormat="false" ht="15" hidden="false" customHeight="false" outlineLevel="0" collapsed="false">
      <c r="B11" s="10" t="s">
        <v>8</v>
      </c>
      <c r="C11" s="11" t="s">
        <v>9</v>
      </c>
      <c r="D11" s="11" t="s">
        <v>10</v>
      </c>
      <c r="E11" s="11" t="s">
        <v>11</v>
      </c>
    </row>
    <row r="12" customFormat="false" ht="15" hidden="false" customHeight="false" outlineLevel="0" collapsed="false">
      <c r="B12" s="12" t="s">
        <v>12</v>
      </c>
      <c r="C12" s="13" t="n">
        <f aca="false">Assumptions!$C$12</f>
        <v>6</v>
      </c>
      <c r="D12" s="13" t="n">
        <f aca="false">Assumptions!$D$12</f>
        <v>8</v>
      </c>
      <c r="E12" s="14" t="n">
        <f aca="false">IFERROR(D12-C12,"")</f>
        <v>2</v>
      </c>
    </row>
    <row r="13" customFormat="false" ht="15" hidden="false" customHeight="false" outlineLevel="0" collapsed="false">
      <c r="B13" s="12" t="s">
        <v>13</v>
      </c>
      <c r="C13" s="15" t="n">
        <f aca="false">'Cash Flow'!$D$102</f>
        <v>4043546549.95396</v>
      </c>
      <c r="D13" s="15" t="n">
        <f aca="false">'Cash Flow'!$E$102</f>
        <v>4616716383.67222</v>
      </c>
      <c r="E13" s="16" t="n">
        <f aca="false">IFERROR(D13-C13,"")</f>
        <v>573169833.718254</v>
      </c>
    </row>
    <row r="14" customFormat="false" ht="15" hidden="false" customHeight="false" outlineLevel="0" collapsed="false">
      <c r="B14" s="12" t="s">
        <v>14</v>
      </c>
      <c r="C14" s="15" t="n">
        <f aca="false">Capex!$I$46</f>
        <v>673924424.992327</v>
      </c>
      <c r="D14" s="15" t="n">
        <f aca="false">Capex!$J$46</f>
        <v>577089547.959027</v>
      </c>
      <c r="E14" s="16" t="n">
        <f aca="false">IFERROR(D14-C14,"")</f>
        <v>-96834877.0332999</v>
      </c>
    </row>
    <row r="15" customFormat="false" ht="15" hidden="false" customHeight="false" outlineLevel="0" collapsed="false">
      <c r="B15" s="12" t="s">
        <v>15</v>
      </c>
      <c r="C15" s="15" t="n">
        <f aca="false">'Cash Flow'!$D$103</f>
        <v>591926400</v>
      </c>
      <c r="D15" s="15" t="n">
        <f aca="false">'Cash Flow'!$E$103</f>
        <v>744681600</v>
      </c>
      <c r="E15" s="16" t="n">
        <f aca="false">IFERROR(D15-C15,"")</f>
        <v>152755200</v>
      </c>
    </row>
    <row r="16" customFormat="false" ht="15" hidden="false" customHeight="false" outlineLevel="0" collapsed="false">
      <c r="B16" s="12" t="s">
        <v>16</v>
      </c>
      <c r="C16" s="15" t="n">
        <f aca="false">'Cash Flow'!$D$104</f>
        <v>308057927</v>
      </c>
      <c r="D16" s="15" t="n">
        <f aca="false">'Cash Flow'!$E$104</f>
        <v>436019266.4</v>
      </c>
      <c r="E16" s="16" t="n">
        <f aca="false">IFERROR(D16-C16,"")</f>
        <v>127961339.4</v>
      </c>
    </row>
    <row r="17" customFormat="false" ht="15" hidden="false" customHeight="false" outlineLevel="0" collapsed="false">
      <c r="B17" s="12" t="s">
        <v>17</v>
      </c>
      <c r="C17" s="17" t="n">
        <f aca="false">'Cash Flow'!$D$105</f>
        <v>0.417013479480315</v>
      </c>
      <c r="D17" s="17" t="n">
        <f aca="false">'Cash Flow'!$E$105</f>
        <v>0.469159453086376</v>
      </c>
      <c r="E17" s="18" t="n">
        <f aca="false">IFERROR(D17-C17,"")</f>
        <v>0.0521459736060611</v>
      </c>
    </row>
    <row r="18" customFormat="false" ht="15" hidden="false" customHeight="false" outlineLevel="0" collapsed="false">
      <c r="B18" s="12" t="s">
        <v>18</v>
      </c>
      <c r="C18" s="17" t="n">
        <f aca="false">'Cash Flow'!$D$106</f>
        <v>0.0761850823761403</v>
      </c>
      <c r="D18" s="17" t="n">
        <f aca="false">'Cash Flow'!$E$106</f>
        <v>0.0944435893749191</v>
      </c>
      <c r="E18" s="18" t="n">
        <f aca="false">IFERROR(D18-C18,"")</f>
        <v>0.0182585069987788</v>
      </c>
    </row>
    <row r="19" customFormat="false" ht="15" hidden="false" customHeight="false" outlineLevel="0" collapsed="false">
      <c r="B19" s="12" t="s">
        <v>19</v>
      </c>
      <c r="C19" s="15" t="n">
        <f aca="false">'Cash Flow'!$D$107</f>
        <v>-1020578563.74661</v>
      </c>
      <c r="D19" s="15" t="n">
        <f aca="false">'Cash Flow'!$E$107</f>
        <v>-272940437.211198</v>
      </c>
      <c r="E19" s="16" t="n">
        <f aca="false">IFERROR(D19-C19,"")</f>
        <v>747638126.535411</v>
      </c>
    </row>
    <row r="20" customFormat="false" ht="15" hidden="false" customHeight="false" outlineLevel="0" collapsed="false">
      <c r="B20" s="12" t="s">
        <v>20</v>
      </c>
      <c r="C20" s="17" t="n">
        <f aca="false">'Cash Flow'!$D$108</f>
        <v>0.0768611399784622</v>
      </c>
      <c r="D20" s="17" t="n">
        <f aca="false">'Cash Flow'!$E$108</f>
        <v>0.110625400380455</v>
      </c>
      <c r="E20" s="18" t="n">
        <f aca="false">IFERROR(D20-C20,"")</f>
        <v>0.0337642604019929</v>
      </c>
    </row>
    <row r="21" customFormat="false" ht="15" hidden="false" customHeight="false" outlineLevel="0" collapsed="false">
      <c r="B21" s="12" t="s">
        <v>21</v>
      </c>
      <c r="C21" s="15" t="n">
        <f aca="false">'Cash Flow'!$D$109</f>
        <v>-861201677.085473</v>
      </c>
      <c r="D21" s="15" t="n">
        <f aca="false">'Cash Flow'!$E$109</f>
        <v>-63984005.1249986</v>
      </c>
      <c r="E21" s="16" t="n">
        <f aca="false">IFERROR(D21-C21,"")</f>
        <v>797217671.960475</v>
      </c>
    </row>
    <row r="22" customFormat="false" ht="15" hidden="false" customHeight="false" outlineLevel="0" collapsed="false">
      <c r="B22" s="12" t="s">
        <v>22</v>
      </c>
      <c r="C22" s="15" t="n">
        <f aca="false">'Cash Flow'!$D$111</f>
        <v>-1670291191.163</v>
      </c>
      <c r="D22" s="15" t="n">
        <f aca="false">'Cash Flow'!$E$111</f>
        <v>-1424617014.07816</v>
      </c>
      <c r="E22" s="16" t="n">
        <f aca="false">IFERROR(D22-C22,"")</f>
        <v>245674177.084844</v>
      </c>
    </row>
    <row r="23" customFormat="false" ht="15" hidden="false" customHeight="false" outlineLevel="0" collapsed="false">
      <c r="B23" s="12" t="s">
        <v>23</v>
      </c>
      <c r="C23" s="15" t="n">
        <f aca="false">'Cash Flow'!$D$112</f>
        <v>-2383575405.77729</v>
      </c>
      <c r="D23" s="15" t="n">
        <f aca="false">'Cash Flow'!$E$112</f>
        <v>-2233841203.86556</v>
      </c>
      <c r="E23" s="16" t="n">
        <f aca="false">IFERROR(D23-C23,"")</f>
        <v>149734201.911731</v>
      </c>
    </row>
    <row r="24" customFormat="false" ht="15" hidden="false" customHeight="false" outlineLevel="0" collapsed="false">
      <c r="B24" s="12" t="s">
        <v>24</v>
      </c>
      <c r="C24" s="19" t="n">
        <f aca="false">Sensitivity!$C$56</f>
        <v>0.177395939172333</v>
      </c>
      <c r="D24" s="19" t="n">
        <f aca="false">Sensitivity!$D$56</f>
        <v>0.0377104922596528</v>
      </c>
      <c r="E24" s="12"/>
    </row>
    <row r="25" customFormat="false" ht="15" hidden="false" customHeight="false" outlineLevel="0" collapsed="false">
      <c r="B25" s="12" t="s">
        <v>25</v>
      </c>
      <c r="C25" s="17" t="str">
        <f aca="false">Sensitivity!$C$58</f>
        <v>&gt; 100%</v>
      </c>
      <c r="D25" s="17" t="n">
        <f aca="false">Sensitivity!$D$58</f>
        <v>0.936401965424055</v>
      </c>
      <c r="E25" s="12"/>
    </row>
    <row r="26" customFormat="false" ht="15" hidden="false" customHeight="false" outlineLevel="0" collapsed="false">
      <c r="B26" s="12" t="s">
        <v>26</v>
      </c>
      <c r="C26" s="20" t="n">
        <f aca="false">'Cash Flow'!$D$117</f>
        <v>0</v>
      </c>
      <c r="D26" s="20" t="n">
        <f aca="false">'Cash Flow'!$E$117</f>
        <v>0</v>
      </c>
      <c r="E26" s="12"/>
    </row>
    <row r="27" customFormat="false" ht="15" hidden="false" customHeight="false" outlineLevel="0" collapsed="false">
      <c r="B27" s="12" t="s">
        <v>27</v>
      </c>
      <c r="C27" s="20" t="n">
        <f aca="false">'Cash Flow'!$D$118</f>
        <v>0</v>
      </c>
      <c r="D27" s="20" t="n">
        <f aca="false">'Cash Flow'!$E$118</f>
        <v>0</v>
      </c>
      <c r="E27" s="12"/>
    </row>
    <row r="29" customFormat="false" ht="15" hidden="false" customHeight="false" outlineLevel="0" collapsed="false">
      <c r="B29" s="8" t="s">
        <v>28</v>
      </c>
      <c r="C29" s="9"/>
      <c r="D29" s="9"/>
      <c r="E29" s="9"/>
    </row>
    <row r="30" customFormat="false" ht="30" hidden="false" customHeight="true" outlineLevel="0" collapsed="false">
      <c r="B30" s="21" t="str">
        <f aca="false">"Option 2 adds "&amp;TEXT(Assumptions!$D$12-Assumptions!$C$12,"0")&amp;" rooms for "&amp;TEXT('Cash Flow'!$F$102/1000000,"#,##0")&amp;"m VND extra capex ("&amp;TEXT('Cash Flow'!$F$119/1000000,"#,##0")&amp;"m per room) and lifts stabilised NOI by "&amp;TEXT('Cash Flow'!$F$104/1000000,"#,##0")&amp;"m VND/yr."</f>
        <v>Option 2 adds 2 rooms for 573m VND extra capex (287m per room) and lifts stabilised NOI by 128m VND/yr.</v>
      </c>
      <c r="C30" s="21"/>
      <c r="D30" s="21"/>
      <c r="E30" s="21"/>
    </row>
    <row r="31" customFormat="false" ht="30" hidden="false" customHeight="true" outlineLevel="0" collapsed="false">
      <c r="B31" s="21" t="str">
        <f aca="false">"The added rooms earn an incremental yield on cost of "&amp;TEXT('Cash Flow'!$F$121,"0.0%")&amp;" and an incremental IRR of "&amp;IFERROR(TEXT('Cash Flow'!$F$120,"0.0%"),"n/a")&amp;" – well above the "&amp;TEXT(Assumptions!$C$59,"0%")&amp;" hurdle."</f>
        <v>The added rooms earn an incremental yield on cost of 22.3% and an incremental IRR of 27.4% – well above the 12% hurdle.</v>
      </c>
      <c r="C31" s="21"/>
      <c r="D31" s="21"/>
      <c r="E31" s="21"/>
    </row>
    <row r="32" customFormat="false" ht="30" hidden="false" customHeight="true" outlineLevel="0" collapsed="false">
      <c r="B32" s="21" t="str">
        <f aca="false">"Fixed costs (caretaker, elevator, common areas) are shared, so Option 2 dilutes them over more rooms: Y3 NOI margin "&amp;TEXT('Cash Flow'!$D$105,"0%")&amp;" → "&amp;TEXT('Cash Flow'!$E$105,"0%")&amp;"."</f>
        <v>Fixed costs (caretaker, elevator, common areas) are shared, so Option 2 dilutes them over more rooms: Y3 NOI margin 42% → 47%.</v>
      </c>
      <c r="C32" s="21"/>
      <c r="D32" s="21"/>
      <c r="E32" s="21"/>
    </row>
    <row r="33" customFormat="false" ht="30" hidden="false" customHeight="true" outlineLevel="0" collapsed="false">
      <c r="B33" s="21" t="str">
        <f aca="false">"Value depends heavily on the exit assumption: Option 2 NPV ranges from "&amp;TEXT('Cash Flow'!$E$112/1000000,"#,##0")&amp;"m (no exit) to "&amp;TEXT('Cash Flow'!$E$109/1000000,"#,##0")&amp;"m (cap-rate sale)."</f>
        <v>Value depends heavily on the exit assumption: Option 2 NPV ranges from -2,234m (no exit) to -64m (cap-rate sale).</v>
      </c>
      <c r="C33" s="21"/>
      <c r="D33" s="21"/>
      <c r="E33" s="21"/>
    </row>
    <row r="34" customFormat="false" ht="30" hidden="false" customHeight="true" outlineLevel="0" collapsed="false">
      <c r="B34" s="21" t="str">
        <f aca="false">IF('Cash Flow'!$E$107&gt;=0,"Recommendation: proceed with Option 2 – it clears the "&amp;TEXT(Assumptions!$C$59,"0%")&amp;" hurdle; Option 1 does not justify the fixed cost of the elevator and common areas.","Recommendation: Option 2 is the only viable layout, but it needs rents "&amp;TEXT(Sensitivity!$D$56,"+0.0%")&amp;" above plan (or capex "&amp;TEXT(Sensitivity!$D$57,"+0.0%;-0.0%")&amp;") to clear the "&amp;TEXT(Assumptions!$C$59,"0%")&amp;" hurdle – validate rents before committing.")</f>
        <v>Recommendation: Option 2 is the only viable layout, but it needs rents +3.8% above plan (or capex -5.9%) to clear the 12% hurdle – validate rents before committing.</v>
      </c>
      <c r="C34" s="21"/>
      <c r="D34" s="21"/>
      <c r="E34" s="21"/>
    </row>
    <row r="36" customFormat="false" ht="15" hidden="false" customHeight="false" outlineLevel="0" collapsed="false">
      <c r="B36" s="8" t="s">
        <v>29</v>
      </c>
      <c r="C36" s="9"/>
      <c r="D36" s="9"/>
      <c r="E36" s="9"/>
    </row>
    <row r="37" customFormat="false" ht="15" hidden="false" customHeight="false" outlineLevel="0" collapsed="false">
      <c r="B37" s="10" t="s">
        <v>8</v>
      </c>
      <c r="C37" s="11" t="s">
        <v>30</v>
      </c>
      <c r="D37" s="11" t="s">
        <v>31</v>
      </c>
      <c r="E37" s="11" t="s">
        <v>32</v>
      </c>
    </row>
    <row r="38" customFormat="false" ht="15" hidden="false" customHeight="false" outlineLevel="0" collapsed="false">
      <c r="B38" s="12" t="s">
        <v>33</v>
      </c>
      <c r="C38" s="22" t="s">
        <v>34</v>
      </c>
      <c r="D38" s="23" t="s">
        <v>35</v>
      </c>
      <c r="E38" s="22" t="s">
        <v>36</v>
      </c>
    </row>
    <row r="39" customFormat="false" ht="15" hidden="false" customHeight="false" outlineLevel="0" collapsed="false">
      <c r="B39" s="12" t="s">
        <v>37</v>
      </c>
      <c r="C39" s="17" t="n">
        <v>0.85</v>
      </c>
      <c r="D39" s="24" t="n">
        <v>0.9</v>
      </c>
      <c r="E39" s="17" t="n">
        <v>0.93</v>
      </c>
    </row>
    <row r="40" customFormat="false" ht="15" hidden="false" customHeight="false" outlineLevel="0" collapsed="false">
      <c r="B40" s="12" t="s">
        <v>38</v>
      </c>
      <c r="C40" s="17" t="n">
        <v>0.12</v>
      </c>
      <c r="D40" s="24" t="n">
        <v>0.12</v>
      </c>
      <c r="E40" s="17" t="n">
        <v>0.11</v>
      </c>
    </row>
    <row r="41" customFormat="false" ht="15" hidden="false" customHeight="false" outlineLevel="0" collapsed="false">
      <c r="B41" s="12" t="s">
        <v>16</v>
      </c>
      <c r="C41" s="15" t="n">
        <v>337491491.6</v>
      </c>
      <c r="D41" s="25" t="n">
        <v>436019266.4</v>
      </c>
      <c r="E41" s="15" t="n">
        <v>539462717.96</v>
      </c>
    </row>
    <row r="42" customFormat="false" ht="15" hidden="false" customHeight="false" outlineLevel="0" collapsed="false">
      <c r="B42" s="12" t="s">
        <v>19</v>
      </c>
      <c r="C42" s="15" t="n">
        <v>-1555810078.8733</v>
      </c>
      <c r="D42" s="25" t="n">
        <v>-272940437.211198</v>
      </c>
      <c r="E42" s="15" t="n">
        <v>1853823022.07924</v>
      </c>
    </row>
    <row r="43" customFormat="false" ht="15" hidden="false" customHeight="false" outlineLevel="0" collapsed="false">
      <c r="B43" s="12" t="s">
        <v>20</v>
      </c>
      <c r="C43" s="17" t="n">
        <v>0.058847420568169</v>
      </c>
      <c r="D43" s="24" t="n">
        <v>0.110625400380455</v>
      </c>
      <c r="E43" s="17" t="n">
        <v>0.162367901231115</v>
      </c>
    </row>
    <row r="44" customFormat="false" ht="15" hidden="false" customHeight="false" outlineLevel="0" collapsed="false">
      <c r="B44" s="12" t="s">
        <v>5</v>
      </c>
      <c r="C44" s="17" t="n">
        <v>0.233322473073214</v>
      </c>
      <c r="D44" s="24" t="n">
        <v>0.274182564638984</v>
      </c>
      <c r="E44" s="17" t="n">
        <v>0.32497720154491</v>
      </c>
    </row>
    <row r="45" customFormat="false" ht="15" hidden="false" customHeight="false" outlineLevel="0" collapsed="false">
      <c r="B45" s="26" t="s">
        <v>39</v>
      </c>
    </row>
    <row r="68" customFormat="false" ht="15" hidden="false" customHeight="false" outlineLevel="0" collapsed="false">
      <c r="B68" s="8" t="s">
        <v>40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customFormat="false" ht="15" hidden="false" customHeight="false" outlineLevel="0" collapsed="false">
      <c r="B69" s="27" t="s">
        <v>41</v>
      </c>
      <c r="C69" s="28" t="s">
        <v>42</v>
      </c>
      <c r="D69" s="28" t="s">
        <v>43</v>
      </c>
      <c r="E69" s="28" t="s">
        <v>44</v>
      </c>
      <c r="F69" s="28" t="s">
        <v>45</v>
      </c>
      <c r="G69" s="28" t="s">
        <v>46</v>
      </c>
      <c r="H69" s="28" t="s">
        <v>47</v>
      </c>
      <c r="I69" s="28" t="s">
        <v>48</v>
      </c>
      <c r="J69" s="28" t="s">
        <v>49</v>
      </c>
      <c r="K69" s="28" t="s">
        <v>50</v>
      </c>
      <c r="L69" s="28" t="s">
        <v>51</v>
      </c>
      <c r="M69" s="28" t="s">
        <v>52</v>
      </c>
    </row>
    <row r="70" customFormat="false" ht="15" hidden="false" customHeight="false" outlineLevel="0" collapsed="false">
      <c r="B70" s="29" t="s">
        <v>53</v>
      </c>
      <c r="C70" s="30" t="n">
        <f aca="false">'Cash Flow'!$D$42</f>
        <v>-3892019835.94653</v>
      </c>
      <c r="D70" s="30" t="n">
        <f aca="false">'Cash Flow'!$E$42</f>
        <v>-3838554741.95396</v>
      </c>
      <c r="E70" s="30" t="n">
        <f aca="false">'Cash Flow'!$F$42</f>
        <v>-3583838314.11396</v>
      </c>
      <c r="F70" s="30" t="n">
        <f aca="false">'Cash Flow'!$G$42</f>
        <v>-3297942111.52996</v>
      </c>
      <c r="G70" s="30" t="n">
        <f aca="false">'Cash Flow'!$H$42</f>
        <v>-3001839986.7596</v>
      </c>
      <c r="H70" s="30" t="n">
        <f aca="false">'Cash Flow'!$I$42</f>
        <v>-2695179049.58169</v>
      </c>
      <c r="I70" s="30" t="n">
        <f aca="false">'Cash Flow'!$J$42</f>
        <v>-2377594784.76618</v>
      </c>
      <c r="J70" s="30" t="n">
        <f aca="false">'Cash Flow'!$K$42</f>
        <v>-2048710699.15078</v>
      </c>
      <c r="K70" s="30" t="n">
        <f aca="false">'Cash Flow'!$L$42</f>
        <v>-1708137959.64419</v>
      </c>
      <c r="L70" s="30" t="n">
        <f aca="false">'Cash Flow'!$M$42</f>
        <v>-1355475022.01974</v>
      </c>
      <c r="M70" s="30" t="n">
        <f aca="false">'Cash Flow'!$N$42</f>
        <v>-990307250.368544</v>
      </c>
    </row>
    <row r="71" customFormat="false" ht="15" hidden="false" customHeight="false" outlineLevel="0" collapsed="false">
      <c r="B71" s="29" t="s">
        <v>54</v>
      </c>
      <c r="C71" s="30" t="n">
        <f aca="false">'Cash Flow'!$D$86</f>
        <v>-4441784336.20874</v>
      </c>
      <c r="D71" s="30" t="n">
        <f aca="false">'Cash Flow'!$E$86</f>
        <v>-4314139231.67222</v>
      </c>
      <c r="E71" s="30" t="n">
        <f aca="false">'Cash Flow'!$F$86</f>
        <v>-3947207446.71222</v>
      </c>
      <c r="F71" s="30" t="n">
        <f aca="false">'Cash Flow'!$G$86</f>
        <v>-3539069059.41622</v>
      </c>
      <c r="G71" s="30" t="n">
        <f aca="false">'Cash Flow'!$H$86</f>
        <v>-3115910150.18438</v>
      </c>
      <c r="H71" s="30" t="n">
        <f aca="false">'Cash Flow'!$I$86</f>
        <v>-2677188623.74928</v>
      </c>
      <c r="I71" s="30" t="n">
        <f aca="false">'Cash Flow'!$J$86</f>
        <v>-2222343343.68528</v>
      </c>
      <c r="J71" s="30" t="n">
        <f aca="false">'Cash Flow'!$K$86</f>
        <v>-1750793489.68148</v>
      </c>
      <c r="K71" s="30" t="n">
        <f aca="false">'Cash Flow'!$L$86</f>
        <v>-1261937894.45713</v>
      </c>
      <c r="L71" s="30" t="n">
        <f aca="false">'Cash Flow'!$M$86</f>
        <v>-755154359.745691</v>
      </c>
      <c r="M71" s="30" t="n">
        <f aca="false">'Cash Flow'!$N$86</f>
        <v>-229798950.762155</v>
      </c>
    </row>
    <row r="72" customFormat="false" ht="15" hidden="false" customHeight="false" outlineLevel="0" collapsed="false">
      <c r="B72" s="29" t="s">
        <v>55</v>
      </c>
      <c r="C72" s="30" t="n">
        <f aca="false">'Cash Flow'!$D$30</f>
        <v>0</v>
      </c>
      <c r="D72" s="30" t="n">
        <f aca="false">'Cash Flow'!$E$30</f>
        <v>222749600</v>
      </c>
      <c r="E72" s="30" t="n">
        <f aca="false">'Cash Flow'!$F$30</f>
        <v>275078696</v>
      </c>
      <c r="F72" s="30" t="n">
        <f aca="false">'Cash Flow'!$G$30</f>
        <v>308057927</v>
      </c>
      <c r="G72" s="30" t="n">
        <f aca="false">'Cash Flow'!$H$30</f>
        <v>319150318.163</v>
      </c>
      <c r="H72" s="30" t="n">
        <f aca="false">'Cash Flow'!$I$30</f>
        <v>330631058.306255</v>
      </c>
      <c r="I72" s="30" t="n">
        <f aca="false">'Cash Flow'!$J$30</f>
        <v>342513190.788993</v>
      </c>
      <c r="J72" s="30" t="n">
        <f aca="false">'Cash Flow'!$K$30</f>
        <v>354810168.627813</v>
      </c>
      <c r="K72" s="30" t="n">
        <f aca="false">'Cash Flow'!$L$30</f>
        <v>367535865.839513</v>
      </c>
      <c r="L72" s="30" t="n">
        <f aca="false">'Cash Flow'!$M$30</f>
        <v>380704589.010676</v>
      </c>
      <c r="M72" s="30" t="n">
        <f aca="false">'Cash Flow'!$N$30</f>
        <v>394331089.092878</v>
      </c>
    </row>
    <row r="73" customFormat="false" ht="15" hidden="false" customHeight="false" outlineLevel="0" collapsed="false">
      <c r="B73" s="29" t="s">
        <v>56</v>
      </c>
      <c r="C73" s="30" t="n">
        <f aca="false">'Cash Flow'!$D$74</f>
        <v>0</v>
      </c>
      <c r="D73" s="30" t="n">
        <f aca="false">'Cash Flow'!$E$74</f>
        <v>324917600</v>
      </c>
      <c r="E73" s="30" t="n">
        <f aca="false">'Cash Flow'!$F$74</f>
        <v>392548832</v>
      </c>
      <c r="F73" s="30" t="n">
        <f aca="false">'Cash Flow'!$G$74</f>
        <v>436019266.4</v>
      </c>
      <c r="G73" s="30" t="n">
        <f aca="false">'Cash Flow'!$H$74</f>
        <v>452155023.5</v>
      </c>
      <c r="H73" s="30" t="n">
        <f aca="false">'Cash Flow'!$I$74</f>
        <v>468877485.27398</v>
      </c>
      <c r="I73" s="30" t="n">
        <f aca="false">'Cash Flow'!$J$74</f>
        <v>486207477.256448</v>
      </c>
      <c r="J73" s="30" t="n">
        <f aca="false">'Cash Flow'!$K$74</f>
        <v>504166539.083934</v>
      </c>
      <c r="K73" s="30" t="n">
        <f aca="false">'Cash Flow'!$L$74</f>
        <v>522776947.707693</v>
      </c>
      <c r="L73" s="30" t="n">
        <f aca="false">'Cash Flow'!$M$74</f>
        <v>542061741.294121</v>
      </c>
      <c r="M73" s="30" t="n">
        <f aca="false">'Cash Flow'!$N$74</f>
        <v>562044743.829522</v>
      </c>
    </row>
    <row r="74" customFormat="false" ht="15" hidden="false" customHeight="false" outlineLevel="0" collapsed="false">
      <c r="B74" s="29" t="s">
        <v>57</v>
      </c>
      <c r="C74" s="30" t="n">
        <f aca="false">'Cash Flow'!$D$59</f>
        <v>0</v>
      </c>
      <c r="D74" s="30" t="n">
        <f aca="false">'Cash Flow'!$E$59</f>
        <v>744681600</v>
      </c>
      <c r="E74" s="30" t="n">
        <f aca="false">'Cash Flow'!$F$59</f>
        <v>853901568</v>
      </c>
      <c r="F74" s="30" t="n">
        <f aca="false">'Cash Flow'!$G$59</f>
        <v>929362636.8</v>
      </c>
      <c r="G74" s="30" t="n">
        <f aca="false">'Cash Flow'!$H$59</f>
        <v>966537142.272</v>
      </c>
      <c r="H74" s="30" t="n">
        <f aca="false">'Cash Flow'!$I$59</f>
        <v>1005198627.96288</v>
      </c>
      <c r="I74" s="30" t="n">
        <f aca="false">'Cash Flow'!$J$59</f>
        <v>1045406573.0814</v>
      </c>
      <c r="J74" s="30" t="n">
        <f aca="false">'Cash Flow'!$K$59</f>
        <v>1087222836.00465</v>
      </c>
      <c r="K74" s="30" t="n">
        <f aca="false">'Cash Flow'!$L$59</f>
        <v>1130711749.44484</v>
      </c>
      <c r="L74" s="30" t="n">
        <f aca="false">'Cash Flow'!$M$59</f>
        <v>1175940219.42263</v>
      </c>
      <c r="M74" s="30" t="n">
        <f aca="false">'Cash Flow'!$N$59</f>
        <v>1222977828.19954</v>
      </c>
    </row>
    <row r="75" customFormat="false" ht="15" hidden="false" customHeight="false" outlineLevel="0" collapsed="false">
      <c r="B75" s="29" t="s">
        <v>58</v>
      </c>
      <c r="C75" s="30" t="n">
        <f aca="false">-'Cash Flow'!$D$73</f>
        <v>-0</v>
      </c>
      <c r="D75" s="30" t="n">
        <f aca="false">-'Cash Flow'!$E$73</f>
        <v>419764000</v>
      </c>
      <c r="E75" s="30" t="n">
        <f aca="false">-'Cash Flow'!$F$73</f>
        <v>461352736</v>
      </c>
      <c r="F75" s="30" t="n">
        <f aca="false">-'Cash Flow'!$G$73</f>
        <v>493343370.4</v>
      </c>
      <c r="G75" s="30" t="n">
        <f aca="false">-'Cash Flow'!$H$73</f>
        <v>514382118.772</v>
      </c>
      <c r="H75" s="30" t="n">
        <f aca="false">-'Cash Flow'!$I$73</f>
        <v>536321142.6889</v>
      </c>
      <c r="I75" s="30" t="n">
        <f aca="false">-'Cash Flow'!$J$73</f>
        <v>559199095.824947</v>
      </c>
      <c r="J75" s="30" t="n">
        <f aca="false">-'Cash Flow'!$K$73</f>
        <v>583056296.920718</v>
      </c>
      <c r="K75" s="30" t="n">
        <f aca="false">-'Cash Flow'!$L$73</f>
        <v>607934801.737144</v>
      </c>
      <c r="L75" s="30" t="n">
        <f aca="false">-'Cash Flow'!$M$73</f>
        <v>633878478.12851</v>
      </c>
      <c r="M75" s="30" t="n">
        <f aca="false">-'Cash Flow'!$N$73</f>
        <v>660933084.370014</v>
      </c>
    </row>
    <row r="77" customFormat="false" ht="15" hidden="false" customHeight="false" outlineLevel="0" collapsed="false">
      <c r="B77" s="27" t="s">
        <v>59</v>
      </c>
      <c r="C77" s="27" t="s">
        <v>9</v>
      </c>
      <c r="D77" s="27" t="s">
        <v>10</v>
      </c>
    </row>
    <row r="78" customFormat="false" ht="15" hidden="false" customHeight="false" outlineLevel="0" collapsed="false">
      <c r="B78" s="29" t="str">
        <f aca="false">Capex!D56</f>
        <v>Soft costs (permits, supervision, design)</v>
      </c>
      <c r="C78" s="30" t="n">
        <f aca="false">Capex!I56</f>
        <v>145000000</v>
      </c>
      <c r="D78" s="30" t="n">
        <f aca="false">Capex!J56</f>
        <v>145000000</v>
      </c>
    </row>
    <row r="79" customFormat="false" ht="15" hidden="false" customHeight="false" outlineLevel="0" collapsed="false">
      <c r="B79" s="29" t="str">
        <f aca="false">Capex!D57</f>
        <v>Construction (turnkey + finishing)</v>
      </c>
      <c r="C79" s="30" t="n">
        <f aca="false">Capex!I57</f>
        <v>2585470000</v>
      </c>
      <c r="D79" s="30" t="n">
        <f aca="false">Capex!J57</f>
        <v>2982770000</v>
      </c>
    </row>
    <row r="80" customFormat="false" ht="15" hidden="false" customHeight="false" outlineLevel="0" collapsed="false">
      <c r="B80" s="29" t="str">
        <f aca="false">Capex!D58</f>
        <v>Building systems (elevator, CCTV, locks)</v>
      </c>
      <c r="C80" s="30" t="n">
        <f aca="false">Capex!I58</f>
        <v>364500000</v>
      </c>
      <c r="D80" s="30" t="n">
        <f aca="false">Capex!J58</f>
        <v>367000000</v>
      </c>
    </row>
    <row r="81" customFormat="false" ht="15" hidden="false" customHeight="false" outlineLevel="0" collapsed="false">
      <c r="B81" s="29" t="str">
        <f aca="false">Capex!D59</f>
        <v>Furniture, fixtures &amp; equipment</v>
      </c>
      <c r="C81" s="30" t="n">
        <f aca="false">Capex!I59</f>
        <v>318400000</v>
      </c>
      <c r="D81" s="30" t="n">
        <f aca="false">Capex!J59</f>
        <v>405000000</v>
      </c>
    </row>
    <row r="82" customFormat="false" ht="15" hidden="false" customHeight="false" outlineLevel="0" collapsed="false">
      <c r="B82" s="29" t="str">
        <f aca="false">Capex!D60</f>
        <v>Pre-opening</v>
      </c>
      <c r="C82" s="30" t="n">
        <f aca="false">Capex!I60</f>
        <v>25000000</v>
      </c>
      <c r="D82" s="30" t="n">
        <f aca="false">Capex!J60</f>
        <v>25000000</v>
      </c>
    </row>
    <row r="83" customFormat="false" ht="15" hidden="false" customHeight="false" outlineLevel="0" collapsed="false">
      <c r="B83" s="29" t="str">
        <f aca="false">Capex!D61</f>
        <v>VAT</v>
      </c>
      <c r="C83" s="30" t="n">
        <f aca="false">Capex!I61</f>
        <v>261469600</v>
      </c>
      <c r="D83" s="30" t="n">
        <f aca="false">Capex!J61</f>
        <v>300381600</v>
      </c>
    </row>
    <row r="84" customFormat="false" ht="15" hidden="false" customHeight="false" outlineLevel="0" collapsed="false">
      <c r="B84" s="29" t="str">
        <f aca="false">Capex!D62</f>
        <v>Contingency</v>
      </c>
      <c r="C84" s="30" t="n">
        <f aca="false">Capex!I62</f>
        <v>343706949.953961</v>
      </c>
      <c r="D84" s="30" t="n">
        <f aca="false">Capex!J62</f>
        <v>391564783.672215</v>
      </c>
    </row>
    <row r="86" customFormat="false" ht="15" hidden="false" customHeight="false" outlineLevel="0" collapsed="false">
      <c r="B86" s="27" t="s">
        <v>60</v>
      </c>
      <c r="C86" s="27" t="s">
        <v>61</v>
      </c>
      <c r="D86" s="27" t="s">
        <v>62</v>
      </c>
      <c r="E86" s="27" t="s">
        <v>63</v>
      </c>
      <c r="F86" s="27" t="s">
        <v>64</v>
      </c>
      <c r="G86" s="27" t="s">
        <v>65</v>
      </c>
      <c r="H86" s="27" t="s">
        <v>66</v>
      </c>
      <c r="I86" s="27" t="s">
        <v>67</v>
      </c>
    </row>
    <row r="87" customFormat="false" ht="15" hidden="false" customHeight="false" outlineLevel="0" collapsed="false">
      <c r="B87" s="29" t="s">
        <v>9</v>
      </c>
      <c r="C87" s="30" t="n">
        <f aca="false">Capex!L50</f>
        <v>573944833.669895</v>
      </c>
      <c r="D87" s="30" t="n">
        <f aca="false">Capex!M50</f>
        <v>626569374.597897</v>
      </c>
      <c r="E87" s="30" t="n">
        <f aca="false">Capex!N50</f>
        <v>767864829.321252</v>
      </c>
      <c r="F87" s="30" t="n">
        <f aca="false">Capex!O50</f>
        <v>1010829601.158</v>
      </c>
      <c r="G87" s="30" t="n">
        <f aca="false">Capex!P50</f>
        <v>592819743.0388</v>
      </c>
      <c r="H87" s="30" t="n">
        <f aca="false">Capex!Q50</f>
        <v>319991454.160684</v>
      </c>
      <c r="I87" s="30" t="n">
        <f aca="false">Capex!R50</f>
        <v>151526714.007435</v>
      </c>
    </row>
    <row r="88" customFormat="false" ht="15" hidden="false" customHeight="false" outlineLevel="0" collapsed="false">
      <c r="B88" s="29" t="s">
        <v>10</v>
      </c>
      <c r="C88" s="30" t="n">
        <f aca="false">Capex!L51</f>
        <v>574089094.603632</v>
      </c>
      <c r="D88" s="30" t="n">
        <f aca="false">Capex!M51</f>
        <v>626726862.700809</v>
      </c>
      <c r="E88" s="30" t="n">
        <f aca="false">Capex!N51</f>
        <v>908261315.469642</v>
      </c>
      <c r="F88" s="30" t="n">
        <f aca="false">Capex!O51</f>
        <v>1209078893.53691</v>
      </c>
      <c r="G88" s="30" t="n">
        <f aca="false">Capex!P51</f>
        <v>730507906.691682</v>
      </c>
      <c r="H88" s="30" t="n">
        <f aca="false">Capex!Q51</f>
        <v>393120263.206062</v>
      </c>
      <c r="I88" s="30" t="n">
        <f aca="false">Capex!R51</f>
        <v>174932047.463479</v>
      </c>
    </row>
  </sheetData>
  <mergeCells count="17">
    <mergeCell ref="B6:C6"/>
    <mergeCell ref="D6:F6"/>
    <mergeCell ref="G6:I6"/>
    <mergeCell ref="J6:L6"/>
    <mergeCell ref="B7:C7"/>
    <mergeCell ref="D7:F7"/>
    <mergeCell ref="G7:I7"/>
    <mergeCell ref="J7:L7"/>
    <mergeCell ref="B8:C8"/>
    <mergeCell ref="D8:F8"/>
    <mergeCell ref="G8:I8"/>
    <mergeCell ref="J8:L8"/>
    <mergeCell ref="B30:E30"/>
    <mergeCell ref="B31:E31"/>
    <mergeCell ref="B32:E32"/>
    <mergeCell ref="B33:E33"/>
    <mergeCell ref="B34:E34"/>
  </mergeCells>
  <conditionalFormatting sqref="C19:D23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B2:J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4" min="3" style="0" width="16"/>
    <col collapsed="false" customWidth="true" hidden="false" outlineLevel="0" max="5" min="5" style="0" width="14"/>
    <col collapsed="false" customWidth="true" hidden="false" outlineLevel="0" max="6" min="6" style="0" width="70"/>
    <col collapsed="false" customWidth="true" hidden="false" outlineLevel="0" max="7" min="7" style="0" width="3"/>
    <col collapsed="false" customWidth="true" hidden="false" outlineLevel="0" max="10" min="8" style="0" width="13"/>
  </cols>
  <sheetData>
    <row r="2" customFormat="false" ht="19.7" hidden="false" customHeight="false" outlineLevel="0" collapsed="false">
      <c r="B2" s="31" t="s">
        <v>68</v>
      </c>
    </row>
    <row r="3" customFormat="false" ht="15" hidden="false" customHeight="false" outlineLevel="0" collapsed="false">
      <c r="B3" s="32" t="s">
        <v>69</v>
      </c>
    </row>
    <row r="5" customFormat="false" ht="15" hidden="false" customHeight="false" outlineLevel="0" collapsed="false">
      <c r="B5" s="33" t="s">
        <v>70</v>
      </c>
      <c r="C5" s="34" t="n">
        <v>2</v>
      </c>
      <c r="D5" s="33" t="str">
        <f aca="false">CHOOSE($C$5,"Downside","Base","Upside")</f>
        <v>Base</v>
      </c>
      <c r="F5" s="32" t="s">
        <v>71</v>
      </c>
    </row>
    <row r="7" customFormat="false" ht="15" hidden="false" customHeight="false" outlineLevel="0" collapsed="false">
      <c r="B7" s="8" t="s">
        <v>72</v>
      </c>
      <c r="C7" s="9"/>
      <c r="D7" s="9"/>
      <c r="E7" s="9"/>
      <c r="F7" s="9"/>
    </row>
    <row r="8" customFormat="false" ht="15" hidden="false" customHeight="false" outlineLevel="0" collapsed="false">
      <c r="B8" s="10" t="s">
        <v>73</v>
      </c>
      <c r="C8" s="11" t="s">
        <v>9</v>
      </c>
      <c r="D8" s="11" t="s">
        <v>10</v>
      </c>
      <c r="E8" s="11" t="s">
        <v>74</v>
      </c>
      <c r="F8" s="11" t="s">
        <v>75</v>
      </c>
    </row>
    <row r="9" customFormat="false" ht="15" hidden="false" customHeight="true" outlineLevel="0" collapsed="false">
      <c r="B9" s="35" t="s">
        <v>76</v>
      </c>
      <c r="C9" s="36" t="n">
        <v>4</v>
      </c>
      <c r="D9" s="36" t="n">
        <v>4</v>
      </c>
      <c r="E9" s="37" t="s">
        <v>77</v>
      </c>
      <c r="F9" s="38" t="s">
        <v>78</v>
      </c>
    </row>
    <row r="10" customFormat="false" ht="15" hidden="false" customHeight="true" outlineLevel="0" collapsed="false">
      <c r="B10" s="35" t="s">
        <v>79</v>
      </c>
      <c r="C10" s="36" t="n">
        <v>2</v>
      </c>
      <c r="D10" s="36" t="n">
        <v>4</v>
      </c>
      <c r="E10" s="37" t="s">
        <v>77</v>
      </c>
      <c r="F10" s="38" t="s">
        <v>80</v>
      </c>
    </row>
    <row r="11" customFormat="false" ht="15" hidden="false" customHeight="true" outlineLevel="0" collapsed="false">
      <c r="B11" s="35" t="s">
        <v>81</v>
      </c>
      <c r="C11" s="39" t="n">
        <v>0</v>
      </c>
      <c r="D11" s="39" t="n">
        <v>58</v>
      </c>
      <c r="E11" s="37" t="s">
        <v>82</v>
      </c>
      <c r="F11" s="38" t="s">
        <v>83</v>
      </c>
    </row>
    <row r="12" customFormat="false" ht="15" hidden="false" customHeight="false" outlineLevel="0" collapsed="false">
      <c r="B12" s="27" t="s">
        <v>84</v>
      </c>
      <c r="C12" s="40" t="n">
        <f aca="false">C9+C10</f>
        <v>6</v>
      </c>
      <c r="D12" s="40" t="n">
        <f aca="false">D9+D10</f>
        <v>8</v>
      </c>
      <c r="E12" s="37" t="s">
        <v>77</v>
      </c>
    </row>
    <row r="14" customFormat="false" ht="15" hidden="false" customHeight="false" outlineLevel="0" collapsed="false">
      <c r="B14" s="8" t="s">
        <v>85</v>
      </c>
      <c r="C14" s="9"/>
      <c r="D14" s="9"/>
      <c r="E14" s="9"/>
      <c r="F14" s="9"/>
    </row>
    <row r="15" customFormat="false" ht="15" hidden="false" customHeight="false" outlineLevel="0" collapsed="false">
      <c r="B15" s="10" t="s">
        <v>73</v>
      </c>
      <c r="C15" s="11" t="s">
        <v>86</v>
      </c>
      <c r="D15" s="11"/>
      <c r="E15" s="11" t="s">
        <v>74</v>
      </c>
      <c r="F15" s="11" t="s">
        <v>75</v>
      </c>
      <c r="H15" s="41" t="s">
        <v>30</v>
      </c>
      <c r="I15" s="11" t="s">
        <v>31</v>
      </c>
      <c r="J15" s="11" t="s">
        <v>32</v>
      </c>
    </row>
    <row r="16" customFormat="false" ht="27" hidden="false" customHeight="true" outlineLevel="0" collapsed="false">
      <c r="B16" s="35" t="s">
        <v>87</v>
      </c>
      <c r="C16" s="42" t="n">
        <f aca="false">CHOOSE($C$5,H16,I16,J16)</f>
        <v>11500000</v>
      </c>
      <c r="E16" s="37" t="s">
        <v>88</v>
      </c>
      <c r="F16" s="38" t="s">
        <v>89</v>
      </c>
      <c r="H16" s="43" t="n">
        <v>10500000</v>
      </c>
      <c r="I16" s="43" t="n">
        <v>11500000</v>
      </c>
      <c r="J16" s="43" t="n">
        <v>12500000</v>
      </c>
    </row>
    <row r="17" customFormat="false" ht="15" hidden="false" customHeight="true" outlineLevel="0" collapsed="false">
      <c r="B17" s="35" t="s">
        <v>90</v>
      </c>
      <c r="C17" s="42" t="n">
        <f aca="false">CHOOSE($C$5,H17,I17,J17)</f>
        <v>8000000</v>
      </c>
      <c r="E17" s="37" t="s">
        <v>88</v>
      </c>
      <c r="F17" s="38" t="s">
        <v>91</v>
      </c>
      <c r="H17" s="43" t="n">
        <v>7500000</v>
      </c>
      <c r="I17" s="43" t="n">
        <v>8000000</v>
      </c>
      <c r="J17" s="43" t="n">
        <v>8800000</v>
      </c>
    </row>
    <row r="18" customFormat="false" ht="15" hidden="false" customHeight="true" outlineLevel="0" collapsed="false">
      <c r="B18" s="35" t="s">
        <v>92</v>
      </c>
      <c r="C18" s="44" t="n">
        <f aca="false">CHOOSE($C$5,H18,I18,J18)</f>
        <v>0.04</v>
      </c>
      <c r="E18" s="37" t="s">
        <v>93</v>
      </c>
      <c r="F18" s="38" t="s">
        <v>94</v>
      </c>
      <c r="H18" s="45" t="n">
        <v>0.03</v>
      </c>
      <c r="I18" s="45" t="n">
        <v>0.04</v>
      </c>
      <c r="J18" s="45" t="n">
        <v>0.05</v>
      </c>
    </row>
    <row r="19" customFormat="false" ht="15" hidden="false" customHeight="true" outlineLevel="0" collapsed="false">
      <c r="B19" s="35" t="s">
        <v>95</v>
      </c>
      <c r="C19" s="44" t="n">
        <f aca="false">CHOOSE($C$5,H19,I19,J19)</f>
        <v>0.04</v>
      </c>
      <c r="E19" s="37" t="s">
        <v>93</v>
      </c>
      <c r="F19" s="38"/>
      <c r="H19" s="45" t="n">
        <v>0.03</v>
      </c>
      <c r="I19" s="45" t="n">
        <v>0.04</v>
      </c>
      <c r="J19" s="45" t="n">
        <v>0.05</v>
      </c>
    </row>
    <row r="20" customFormat="false" ht="15" hidden="false" customHeight="true" outlineLevel="0" collapsed="false">
      <c r="B20" s="35" t="s">
        <v>96</v>
      </c>
      <c r="C20" s="46" t="n">
        <f aca="false">CHOOSE($C$5,H20,I20,J20)</f>
        <v>0.78</v>
      </c>
      <c r="E20" s="37" t="s">
        <v>97</v>
      </c>
      <c r="F20" s="38" t="s">
        <v>98</v>
      </c>
      <c r="H20" s="45" t="n">
        <v>0.72</v>
      </c>
      <c r="I20" s="45" t="n">
        <v>0.78</v>
      </c>
      <c r="J20" s="45" t="n">
        <v>0.82</v>
      </c>
    </row>
    <row r="21" customFormat="false" ht="15" hidden="false" customHeight="true" outlineLevel="0" collapsed="false">
      <c r="B21" s="35" t="s">
        <v>99</v>
      </c>
      <c r="C21" s="44" t="n">
        <f aca="false">CHOOSE($C$5,H21,I21,J21)</f>
        <v>0.86</v>
      </c>
      <c r="E21" s="37" t="s">
        <v>97</v>
      </c>
      <c r="F21" s="38" t="s">
        <v>100</v>
      </c>
      <c r="H21" s="45" t="n">
        <v>0.8</v>
      </c>
      <c r="I21" s="45" t="n">
        <v>0.86</v>
      </c>
      <c r="J21" s="45" t="n">
        <v>0.89</v>
      </c>
    </row>
    <row r="22" customFormat="false" ht="15" hidden="false" customHeight="true" outlineLevel="0" collapsed="false">
      <c r="B22" s="35" t="s">
        <v>101</v>
      </c>
      <c r="C22" s="46" t="n">
        <f aca="false">CHOOSE($C$5,H22,I22,J22)</f>
        <v>0.9</v>
      </c>
      <c r="E22" s="37" t="s">
        <v>97</v>
      </c>
      <c r="F22" s="38" t="s">
        <v>102</v>
      </c>
      <c r="H22" s="45" t="n">
        <v>0.85</v>
      </c>
      <c r="I22" s="45" t="n">
        <v>0.9</v>
      </c>
      <c r="J22" s="45" t="n">
        <v>0.93</v>
      </c>
    </row>
    <row r="23" customFormat="false" ht="15" hidden="false" customHeight="true" outlineLevel="0" collapsed="false">
      <c r="B23" s="35" t="s">
        <v>103</v>
      </c>
      <c r="C23" s="45" t="n">
        <v>0.02</v>
      </c>
      <c r="E23" s="37" t="s">
        <v>104</v>
      </c>
      <c r="F23" s="38" t="s">
        <v>105</v>
      </c>
    </row>
    <row r="25" customFormat="false" ht="15" hidden="false" customHeight="false" outlineLevel="0" collapsed="false">
      <c r="B25" s="8" t="s">
        <v>106</v>
      </c>
      <c r="C25" s="9"/>
      <c r="D25" s="9"/>
      <c r="E25" s="9"/>
      <c r="F25" s="9"/>
    </row>
    <row r="26" customFormat="false" ht="15" hidden="false" customHeight="false" outlineLevel="0" collapsed="false">
      <c r="B26" s="10" t="s">
        <v>107</v>
      </c>
      <c r="C26" s="11" t="s">
        <v>108</v>
      </c>
      <c r="D26" s="11"/>
      <c r="E26" s="11" t="s">
        <v>109</v>
      </c>
      <c r="F26" s="11" t="s">
        <v>75</v>
      </c>
    </row>
    <row r="27" customFormat="false" ht="15" hidden="false" customHeight="false" outlineLevel="0" collapsed="false">
      <c r="B27" s="47" t="s">
        <v>110</v>
      </c>
    </row>
    <row r="28" customFormat="false" ht="27" hidden="false" customHeight="true" outlineLevel="0" collapsed="false">
      <c r="B28" s="35" t="s">
        <v>111</v>
      </c>
      <c r="C28" s="48" t="n">
        <v>0.1</v>
      </c>
      <c r="E28" s="37" t="s">
        <v>112</v>
      </c>
      <c r="F28" s="38" t="s">
        <v>113</v>
      </c>
    </row>
    <row r="29" customFormat="false" ht="15" hidden="false" customHeight="true" outlineLevel="0" collapsed="false">
      <c r="B29" s="35" t="s">
        <v>114</v>
      </c>
      <c r="C29" s="45" t="n">
        <v>0.04</v>
      </c>
      <c r="E29" s="37" t="s">
        <v>112</v>
      </c>
      <c r="F29" s="38" t="s">
        <v>115</v>
      </c>
    </row>
    <row r="30" customFormat="false" ht="15" hidden="false" customHeight="true" outlineLevel="0" collapsed="false">
      <c r="B30" s="35" t="s">
        <v>116</v>
      </c>
      <c r="C30" s="45" t="n">
        <v>0.03</v>
      </c>
      <c r="E30" s="37" t="s">
        <v>112</v>
      </c>
      <c r="F30" s="38" t="s">
        <v>117</v>
      </c>
    </row>
    <row r="31" customFormat="false" ht="27" hidden="false" customHeight="true" outlineLevel="0" collapsed="false">
      <c r="B31" s="35" t="s">
        <v>118</v>
      </c>
      <c r="C31" s="48" t="n">
        <v>0.08</v>
      </c>
      <c r="E31" s="37" t="s">
        <v>112</v>
      </c>
      <c r="F31" s="38" t="s">
        <v>119</v>
      </c>
    </row>
    <row r="32" customFormat="false" ht="15" hidden="false" customHeight="true" outlineLevel="0" collapsed="false">
      <c r="B32" s="35" t="s">
        <v>120</v>
      </c>
      <c r="C32" s="45" t="n">
        <v>0.03</v>
      </c>
      <c r="E32" s="37" t="s">
        <v>112</v>
      </c>
      <c r="F32" s="38" t="s">
        <v>121</v>
      </c>
    </row>
    <row r="33" customFormat="false" ht="15" hidden="false" customHeight="false" outlineLevel="0" collapsed="false">
      <c r="B33" s="47" t="s">
        <v>122</v>
      </c>
    </row>
    <row r="34" customFormat="false" ht="15" hidden="false" customHeight="true" outlineLevel="0" collapsed="false">
      <c r="B34" s="35" t="s">
        <v>123</v>
      </c>
      <c r="C34" s="43" t="n">
        <v>350000</v>
      </c>
      <c r="E34" s="37" t="s">
        <v>124</v>
      </c>
      <c r="F34" s="38" t="s">
        <v>125</v>
      </c>
    </row>
    <row r="35" customFormat="false" ht="15" hidden="false" customHeight="true" outlineLevel="0" collapsed="false">
      <c r="B35" s="35" t="s">
        <v>126</v>
      </c>
      <c r="C35" s="43" t="n">
        <v>120000</v>
      </c>
      <c r="E35" s="37" t="s">
        <v>124</v>
      </c>
      <c r="F35" s="38" t="s">
        <v>127</v>
      </c>
    </row>
    <row r="36" customFormat="false" ht="15" hidden="false" customHeight="true" outlineLevel="0" collapsed="false">
      <c r="B36" s="35" t="s">
        <v>128</v>
      </c>
      <c r="C36" s="43" t="n">
        <v>150000</v>
      </c>
      <c r="E36" s="37" t="s">
        <v>129</v>
      </c>
      <c r="F36" s="38" t="s">
        <v>130</v>
      </c>
    </row>
    <row r="37" customFormat="false" ht="15" hidden="false" customHeight="false" outlineLevel="0" collapsed="false">
      <c r="B37" s="47" t="s">
        <v>131</v>
      </c>
    </row>
    <row r="38" customFormat="false" ht="15" hidden="false" customHeight="true" outlineLevel="0" collapsed="false">
      <c r="B38" s="35" t="s">
        <v>132</v>
      </c>
      <c r="C38" s="43" t="n">
        <v>6000000</v>
      </c>
      <c r="E38" s="37" t="s">
        <v>88</v>
      </c>
      <c r="F38" s="38" t="s">
        <v>133</v>
      </c>
    </row>
    <row r="39" customFormat="false" ht="15" hidden="false" customHeight="true" outlineLevel="0" collapsed="false">
      <c r="B39" s="35" t="s">
        <v>134</v>
      </c>
      <c r="C39" s="43" t="n">
        <v>3200000</v>
      </c>
      <c r="E39" s="37" t="s">
        <v>88</v>
      </c>
      <c r="F39" s="38"/>
    </row>
    <row r="40" customFormat="false" ht="15" hidden="false" customHeight="true" outlineLevel="0" collapsed="false">
      <c r="B40" s="35" t="s">
        <v>135</v>
      </c>
      <c r="C40" s="43" t="n">
        <v>2200000</v>
      </c>
      <c r="E40" s="37" t="s">
        <v>88</v>
      </c>
      <c r="F40" s="38" t="s">
        <v>136</v>
      </c>
    </row>
    <row r="41" customFormat="false" ht="15" hidden="false" customHeight="true" outlineLevel="0" collapsed="false">
      <c r="B41" s="35" t="s">
        <v>137</v>
      </c>
      <c r="C41" s="43" t="n">
        <v>150000</v>
      </c>
      <c r="E41" s="37" t="s">
        <v>88</v>
      </c>
      <c r="F41" s="38"/>
    </row>
    <row r="42" customFormat="false" ht="15" hidden="false" customHeight="true" outlineLevel="0" collapsed="false">
      <c r="B42" s="35" t="s">
        <v>138</v>
      </c>
      <c r="C42" s="43" t="n">
        <v>1500000</v>
      </c>
      <c r="E42" s="37" t="s">
        <v>88</v>
      </c>
      <c r="F42" s="38" t="s">
        <v>139</v>
      </c>
    </row>
    <row r="43" customFormat="false" ht="15" hidden="false" customHeight="true" outlineLevel="0" collapsed="false">
      <c r="B43" s="35" t="s">
        <v>140</v>
      </c>
      <c r="C43" s="43" t="n">
        <v>1200000</v>
      </c>
      <c r="E43" s="37" t="s">
        <v>88</v>
      </c>
      <c r="F43" s="38"/>
    </row>
    <row r="44" customFormat="false" ht="15" hidden="false" customHeight="true" outlineLevel="0" collapsed="false">
      <c r="B44" s="35" t="s">
        <v>141</v>
      </c>
      <c r="C44" s="43" t="n">
        <v>13000000</v>
      </c>
      <c r="E44" s="37" t="s">
        <v>142</v>
      </c>
      <c r="F44" s="38"/>
    </row>
    <row r="45" customFormat="false" ht="15" hidden="false" customHeight="true" outlineLevel="0" collapsed="false">
      <c r="B45" s="35" t="s">
        <v>143</v>
      </c>
      <c r="C45" s="45" t="n">
        <v>0.045</v>
      </c>
      <c r="E45" s="37" t="s">
        <v>93</v>
      </c>
      <c r="F45" s="38" t="s">
        <v>144</v>
      </c>
    </row>
    <row r="47" customFormat="false" ht="15" hidden="false" customHeight="false" outlineLevel="0" collapsed="false">
      <c r="B47" s="8" t="s">
        <v>145</v>
      </c>
      <c r="C47" s="9"/>
      <c r="D47" s="9"/>
      <c r="E47" s="9"/>
      <c r="F47" s="9"/>
    </row>
    <row r="48" customFormat="false" ht="15" hidden="false" customHeight="false" outlineLevel="0" collapsed="false">
      <c r="B48" s="10" t="s">
        <v>73</v>
      </c>
      <c r="C48" s="11" t="s">
        <v>146</v>
      </c>
      <c r="D48" s="11"/>
      <c r="E48" s="11" t="s">
        <v>74</v>
      </c>
      <c r="F48" s="11" t="s">
        <v>75</v>
      </c>
    </row>
    <row r="49" customFormat="false" ht="15" hidden="false" customHeight="true" outlineLevel="0" collapsed="false">
      <c r="B49" s="35" t="s">
        <v>147</v>
      </c>
      <c r="C49" s="39" t="n">
        <v>5</v>
      </c>
      <c r="E49" s="37" t="s">
        <v>148</v>
      </c>
      <c r="F49" s="38" t="s">
        <v>149</v>
      </c>
    </row>
    <row r="50" customFormat="false" ht="15" hidden="false" customHeight="true" outlineLevel="0" collapsed="false">
      <c r="B50" s="35" t="s">
        <v>150</v>
      </c>
      <c r="C50" s="45" t="n">
        <v>0.08</v>
      </c>
      <c r="E50" s="37" t="s">
        <v>97</v>
      </c>
      <c r="F50" s="38" t="s">
        <v>151</v>
      </c>
    </row>
    <row r="51" customFormat="false" ht="15" hidden="false" customHeight="true" outlineLevel="0" collapsed="false">
      <c r="B51" s="35" t="s">
        <v>152</v>
      </c>
      <c r="C51" s="48" t="n">
        <v>0.1</v>
      </c>
      <c r="E51" s="37" t="s">
        <v>97</v>
      </c>
      <c r="F51" s="38" t="s">
        <v>153</v>
      </c>
    </row>
    <row r="52" customFormat="false" ht="15" hidden="false" customHeight="true" outlineLevel="0" collapsed="false">
      <c r="B52" s="35" t="s">
        <v>154</v>
      </c>
      <c r="C52" s="45" t="n">
        <v>0.05</v>
      </c>
      <c r="E52" s="37" t="s">
        <v>97</v>
      </c>
      <c r="F52" s="38"/>
    </row>
    <row r="53" customFormat="false" ht="15" hidden="false" customHeight="true" outlineLevel="0" collapsed="false">
      <c r="B53" s="35" t="s">
        <v>155</v>
      </c>
      <c r="C53" s="45" t="n">
        <v>0.05</v>
      </c>
      <c r="E53" s="37" t="s">
        <v>156</v>
      </c>
      <c r="F53" s="38" t="s">
        <v>157</v>
      </c>
    </row>
    <row r="55" customFormat="false" ht="15" hidden="false" customHeight="false" outlineLevel="0" collapsed="false">
      <c r="B55" s="8" t="s">
        <v>158</v>
      </c>
      <c r="C55" s="9"/>
      <c r="D55" s="9"/>
      <c r="E55" s="9"/>
      <c r="F55" s="9"/>
    </row>
    <row r="56" customFormat="false" ht="15" hidden="false" customHeight="false" outlineLevel="0" collapsed="false">
      <c r="B56" s="10" t="s">
        <v>73</v>
      </c>
      <c r="C56" s="11" t="s">
        <v>86</v>
      </c>
      <c r="D56" s="11"/>
      <c r="E56" s="11" t="s">
        <v>74</v>
      </c>
      <c r="F56" s="11" t="s">
        <v>75</v>
      </c>
      <c r="H56" s="41" t="s">
        <v>30</v>
      </c>
      <c r="I56" s="11" t="s">
        <v>31</v>
      </c>
      <c r="J56" s="11" t="s">
        <v>32</v>
      </c>
    </row>
    <row r="57" customFormat="false" ht="15" hidden="false" customHeight="true" outlineLevel="0" collapsed="false">
      <c r="B57" s="35" t="s">
        <v>159</v>
      </c>
      <c r="C57" s="39" t="n">
        <v>10</v>
      </c>
      <c r="E57" s="37" t="s">
        <v>160</v>
      </c>
      <c r="F57" s="38" t="s">
        <v>161</v>
      </c>
    </row>
    <row r="58" customFormat="false" ht="15" hidden="false" customHeight="true" outlineLevel="0" collapsed="false">
      <c r="B58" s="35" t="s">
        <v>162</v>
      </c>
      <c r="C58" s="39" t="n">
        <v>40</v>
      </c>
      <c r="E58" s="37" t="s">
        <v>160</v>
      </c>
      <c r="F58" s="38" t="s">
        <v>163</v>
      </c>
    </row>
    <row r="59" customFormat="false" ht="15" hidden="false" customHeight="true" outlineLevel="0" collapsed="false">
      <c r="B59" s="35" t="s">
        <v>164</v>
      </c>
      <c r="C59" s="46" t="n">
        <f aca="false">CHOOSE($C$5,H59,I59,J59)</f>
        <v>0.12</v>
      </c>
      <c r="E59" s="37" t="s">
        <v>97</v>
      </c>
      <c r="F59" s="38" t="s">
        <v>165</v>
      </c>
      <c r="H59" s="45" t="n">
        <v>0.12</v>
      </c>
      <c r="I59" s="45" t="n">
        <v>0.12</v>
      </c>
      <c r="J59" s="45" t="n">
        <v>0.11</v>
      </c>
    </row>
    <row r="60" customFormat="false" ht="27" hidden="false" customHeight="true" outlineLevel="0" collapsed="false">
      <c r="B60" s="35" t="s">
        <v>166</v>
      </c>
      <c r="C60" s="36" t="n">
        <v>2</v>
      </c>
      <c r="E60" s="37" t="s">
        <v>167</v>
      </c>
      <c r="F60" s="38" t="s">
        <v>168</v>
      </c>
    </row>
    <row r="61" customFormat="false" ht="15" hidden="false" customHeight="true" outlineLevel="0" collapsed="false">
      <c r="B61" s="35" t="s">
        <v>169</v>
      </c>
      <c r="C61" s="44" t="n">
        <f aca="false">CHOOSE($C$5,H61,I61,J61)</f>
        <v>0.085</v>
      </c>
      <c r="E61" s="37" t="s">
        <v>97</v>
      </c>
      <c r="F61" s="38" t="s">
        <v>170</v>
      </c>
      <c r="H61" s="45" t="n">
        <v>0.09</v>
      </c>
      <c r="I61" s="45" t="n">
        <v>0.085</v>
      </c>
      <c r="J61" s="45" t="n">
        <v>0.08</v>
      </c>
    </row>
    <row r="62" customFormat="false" ht="15" hidden="false" customHeight="true" outlineLevel="0" collapsed="false">
      <c r="B62" s="35" t="s">
        <v>171</v>
      </c>
      <c r="C62" s="45" t="n">
        <v>0.04</v>
      </c>
      <c r="E62" s="37" t="s">
        <v>97</v>
      </c>
      <c r="F62" s="38"/>
    </row>
    <row r="63" customFormat="false" ht="15" hidden="false" customHeight="true" outlineLevel="0" collapsed="false">
      <c r="B63" s="35" t="s">
        <v>172</v>
      </c>
      <c r="C63" s="45" t="n">
        <v>0.02</v>
      </c>
      <c r="E63" s="37" t="s">
        <v>173</v>
      </c>
      <c r="F63" s="38" t="s">
        <v>174</v>
      </c>
    </row>
    <row r="65" customFormat="false" ht="15" hidden="false" customHeight="false" outlineLevel="0" collapsed="false">
      <c r="B65" s="8" t="s">
        <v>175</v>
      </c>
      <c r="C65" s="9"/>
      <c r="D65" s="9"/>
      <c r="E65" s="9"/>
      <c r="F65" s="9"/>
    </row>
    <row r="66" customFormat="false" ht="23.85" hidden="false" customHeight="false" outlineLevel="0" collapsed="false">
      <c r="B66" s="10" t="s">
        <v>176</v>
      </c>
      <c r="C66" s="11" t="s">
        <v>177</v>
      </c>
      <c r="D66" s="11"/>
      <c r="E66" s="11" t="s">
        <v>178</v>
      </c>
      <c r="F66" s="11" t="s">
        <v>179</v>
      </c>
    </row>
    <row r="67" customFormat="false" ht="15" hidden="false" customHeight="false" outlineLevel="0" collapsed="false">
      <c r="B67" s="35" t="s">
        <v>180</v>
      </c>
      <c r="C67" s="49" t="s">
        <v>181</v>
      </c>
      <c r="E67" s="29" t="s">
        <v>182</v>
      </c>
      <c r="F67" s="29" t="s">
        <v>183</v>
      </c>
    </row>
    <row r="68" customFormat="false" ht="15" hidden="false" customHeight="false" outlineLevel="0" collapsed="false">
      <c r="B68" s="35" t="s">
        <v>184</v>
      </c>
      <c r="C68" s="49" t="s">
        <v>185</v>
      </c>
      <c r="E68" s="29" t="s">
        <v>186</v>
      </c>
      <c r="F68" s="29" t="s">
        <v>183</v>
      </c>
    </row>
    <row r="69" customFormat="false" ht="15" hidden="false" customHeight="false" outlineLevel="0" collapsed="false">
      <c r="B69" s="35" t="s">
        <v>187</v>
      </c>
      <c r="C69" s="49" t="s">
        <v>188</v>
      </c>
      <c r="E69" s="29" t="s">
        <v>189</v>
      </c>
      <c r="F69" s="29" t="s">
        <v>183</v>
      </c>
    </row>
    <row r="70" customFormat="false" ht="15" hidden="false" customHeight="false" outlineLevel="0" collapsed="false">
      <c r="B70" s="35" t="s">
        <v>190</v>
      </c>
      <c r="C70" s="49" t="s">
        <v>185</v>
      </c>
      <c r="E70" s="29" t="s">
        <v>191</v>
      </c>
      <c r="F70" s="29" t="s">
        <v>192</v>
      </c>
    </row>
    <row r="71" customFormat="false" ht="15" hidden="false" customHeight="false" outlineLevel="0" collapsed="false">
      <c r="B71" s="35" t="s">
        <v>193</v>
      </c>
      <c r="C71" s="49" t="s">
        <v>194</v>
      </c>
      <c r="E71" s="29" t="s">
        <v>195</v>
      </c>
      <c r="F71" s="29" t="s">
        <v>192</v>
      </c>
    </row>
  </sheetData>
  <dataValidations count="2">
    <dataValidation allowBlank="false" errorStyle="stop" operator="between" showDropDown="false" showErrorMessage="true" showInputMessage="false" sqref="C5" type="whole">
      <formula1>1</formula1>
      <formula2>3</formula2>
    </dataValidation>
    <dataValidation allowBlank="false" errorStyle="stop" operator="between" showDropDown="false" showErrorMessage="true" showInputMessage="false" sqref="C60" type="whole">
      <formula1>1</formula1>
      <formula2>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true"/>
  </sheetPr>
  <dimension ref="B2:U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21" topLeftCell="E22" activePane="bottomRight" state="frozen"/>
      <selection pane="topLeft" activeCell="A1" activeCellId="0" sqref="A1"/>
      <selection pane="topRight" activeCell="E1" activeCellId="0" sqref="E1"/>
      <selection pane="bottomLeft" activeCell="A22" activeCellId="0" sqref="A2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14"/>
    <col collapsed="false" customWidth="true" hidden="false" outlineLevel="0" max="4" min="4" style="0" width="44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6"/>
    <col collapsed="false" customWidth="true" hidden="false" outlineLevel="0" max="8" min="8" style="0" width="7"/>
    <col collapsed="false" customWidth="true" hidden="false" outlineLevel="0" max="10" min="9" style="0" width="15"/>
    <col collapsed="false" customWidth="true" hidden="false" outlineLevel="0" max="11" min="11" style="0" width="14"/>
    <col collapsed="false" customWidth="true" hidden="false" outlineLevel="0" max="20" min="12" style="0" width="8"/>
    <col collapsed="false" customWidth="true" hidden="false" outlineLevel="0" max="21" min="21" style="0" width="10"/>
  </cols>
  <sheetData>
    <row r="2" customFormat="false" ht="19.7" hidden="false" customHeight="false" outlineLevel="0" collapsed="false">
      <c r="B2" s="31" t="s">
        <v>196</v>
      </c>
    </row>
    <row r="3" customFormat="false" ht="15" hidden="false" customHeight="false" outlineLevel="0" collapsed="false">
      <c r="B3" s="32" t="s">
        <v>197</v>
      </c>
    </row>
    <row r="5" customFormat="false" ht="15" hidden="false" customHeight="false" outlineLevel="0" collapsed="false">
      <c r="B5" s="8" t="s">
        <v>198</v>
      </c>
      <c r="C5" s="9"/>
      <c r="D5" s="9"/>
      <c r="E5" s="9"/>
      <c r="F5" s="9"/>
      <c r="G5" s="9"/>
      <c r="H5" s="9"/>
      <c r="I5" s="9"/>
      <c r="J5" s="9"/>
      <c r="K5" s="9"/>
    </row>
    <row r="6" customFormat="false" ht="15" hidden="false" customHeight="true" outlineLevel="0" collapsed="false">
      <c r="B6" s="10"/>
      <c r="C6" s="11" t="s">
        <v>199</v>
      </c>
      <c r="D6" s="11"/>
      <c r="E6" s="11" t="s">
        <v>200</v>
      </c>
      <c r="F6" s="11" t="s">
        <v>201</v>
      </c>
      <c r="G6" s="11"/>
      <c r="H6" s="11"/>
      <c r="I6" s="11" t="s">
        <v>202</v>
      </c>
    </row>
    <row r="7" customFormat="false" ht="15" hidden="false" customHeight="false" outlineLevel="0" collapsed="false">
      <c r="C7" s="50" t="s">
        <v>203</v>
      </c>
      <c r="D7" s="50"/>
      <c r="E7" s="51" t="n">
        <v>84</v>
      </c>
      <c r="F7" s="52" t="n">
        <v>0.5</v>
      </c>
      <c r="I7" s="53" t="n">
        <f aca="false">E7*F7</f>
        <v>42</v>
      </c>
    </row>
    <row r="8" customFormat="false" ht="15" hidden="false" customHeight="false" outlineLevel="0" collapsed="false">
      <c r="C8" s="50" t="s">
        <v>204</v>
      </c>
      <c r="D8" s="50"/>
      <c r="E8" s="51" t="n">
        <v>6</v>
      </c>
      <c r="F8" s="52" t="n">
        <v>0.5</v>
      </c>
      <c r="I8" s="53" t="n">
        <f aca="false">E8*F8</f>
        <v>3</v>
      </c>
    </row>
    <row r="9" customFormat="false" ht="15" hidden="false" customHeight="false" outlineLevel="0" collapsed="false">
      <c r="C9" s="50" t="s">
        <v>205</v>
      </c>
      <c r="D9" s="50"/>
      <c r="E9" s="51" t="n">
        <v>234</v>
      </c>
      <c r="F9" s="52" t="n">
        <v>1</v>
      </c>
      <c r="I9" s="53" t="n">
        <f aca="false">E9*F9</f>
        <v>234</v>
      </c>
    </row>
    <row r="10" customFormat="false" ht="15" hidden="false" customHeight="false" outlineLevel="0" collapsed="false">
      <c r="C10" s="50" t="s">
        <v>206</v>
      </c>
      <c r="D10" s="50"/>
      <c r="E10" s="51" t="n">
        <v>78</v>
      </c>
      <c r="F10" s="52" t="n">
        <v>0.65</v>
      </c>
      <c r="I10" s="53" t="n">
        <f aca="false">E10*F10</f>
        <v>50.7</v>
      </c>
    </row>
    <row r="11" customFormat="false" ht="15" hidden="false" customHeight="false" outlineLevel="0" collapsed="false">
      <c r="C11" s="50" t="s">
        <v>207</v>
      </c>
      <c r="D11" s="50"/>
      <c r="E11" s="51" t="n">
        <v>25</v>
      </c>
      <c r="F11" s="52" t="n">
        <v>0.3</v>
      </c>
      <c r="I11" s="53" t="n">
        <f aca="false">E11*F11</f>
        <v>7.5</v>
      </c>
    </row>
    <row r="12" customFormat="false" ht="15" hidden="false" customHeight="false" outlineLevel="0" collapsed="false">
      <c r="C12" s="50" t="s">
        <v>208</v>
      </c>
      <c r="D12" s="50"/>
      <c r="E12" s="51" t="n">
        <v>78</v>
      </c>
      <c r="F12" s="52" t="n">
        <v>0.5</v>
      </c>
      <c r="I12" s="53" t="n">
        <f aca="false">E12*F12</f>
        <v>39</v>
      </c>
    </row>
    <row r="13" customFormat="false" ht="15" hidden="false" customHeight="false" outlineLevel="0" collapsed="false">
      <c r="C13" s="27" t="s">
        <v>209</v>
      </c>
      <c r="I13" s="54" t="n">
        <f aca="false">SUM(I7:I12)</f>
        <v>376.2</v>
      </c>
    </row>
    <row r="15" customFormat="false" ht="15" hidden="false" customHeight="false" outlineLevel="0" collapsed="false">
      <c r="B15" s="8" t="s">
        <v>210</v>
      </c>
      <c r="C15" s="9"/>
      <c r="D15" s="9"/>
      <c r="E15" s="9"/>
      <c r="F15" s="9"/>
      <c r="G15" s="9"/>
      <c r="H15" s="9"/>
      <c r="I15" s="9"/>
      <c r="J15" s="9"/>
      <c r="K15" s="9"/>
    </row>
    <row r="16" customFormat="false" ht="15" hidden="false" customHeight="true" outlineLevel="0" collapsed="false">
      <c r="B16" s="10"/>
      <c r="C16" s="11" t="s">
        <v>211</v>
      </c>
      <c r="D16" s="11"/>
      <c r="E16" s="11" t="s">
        <v>212</v>
      </c>
      <c r="F16" s="11"/>
      <c r="G16" s="11"/>
      <c r="H16" s="11"/>
      <c r="I16" s="11" t="s">
        <v>213</v>
      </c>
      <c r="J16" s="11" t="s">
        <v>214</v>
      </c>
    </row>
    <row r="17" customFormat="false" ht="15" hidden="false" customHeight="false" outlineLevel="0" collapsed="false">
      <c r="C17" s="50" t="s">
        <v>215</v>
      </c>
      <c r="D17" s="50"/>
      <c r="E17" s="43" t="n">
        <v>4700000</v>
      </c>
      <c r="I17" s="55" t="n">
        <f aca="false">$I$13*E17</f>
        <v>1768140000</v>
      </c>
      <c r="J17" s="56" t="s">
        <v>216</v>
      </c>
    </row>
    <row r="18" customFormat="false" ht="15" hidden="false" customHeight="false" outlineLevel="0" collapsed="false">
      <c r="C18" s="50" t="s">
        <v>217</v>
      </c>
      <c r="D18" s="50"/>
      <c r="E18" s="57" t="n">
        <v>6850000</v>
      </c>
      <c r="I18" s="55" t="n">
        <f aca="false">$I$13*E18</f>
        <v>2576970000</v>
      </c>
      <c r="J18" s="58" t="s">
        <v>218</v>
      </c>
    </row>
    <row r="20" customFormat="false" ht="15" hidden="false" customHeight="false" outlineLevel="0" collapsed="false">
      <c r="B20" s="8" t="s">
        <v>219</v>
      </c>
      <c r="C20" s="9"/>
      <c r="D20" s="9"/>
      <c r="E20" s="9"/>
      <c r="F20" s="9"/>
      <c r="G20" s="9"/>
      <c r="H20" s="9"/>
      <c r="I20" s="9"/>
      <c r="J20" s="9"/>
      <c r="K20" s="9"/>
      <c r="L20" s="59" t="s">
        <v>220</v>
      </c>
      <c r="M20" s="9"/>
      <c r="N20" s="9"/>
      <c r="O20" s="9"/>
      <c r="P20" s="9"/>
      <c r="Q20" s="9"/>
      <c r="R20" s="9"/>
      <c r="S20" s="9"/>
      <c r="T20" s="9"/>
      <c r="U20" s="9"/>
    </row>
    <row r="21" customFormat="false" ht="23.85" hidden="false" customHeight="false" outlineLevel="0" collapsed="false">
      <c r="B21" s="10" t="s">
        <v>221</v>
      </c>
      <c r="C21" s="11" t="s">
        <v>222</v>
      </c>
      <c r="D21" s="11" t="s">
        <v>223</v>
      </c>
      <c r="E21" s="11" t="s">
        <v>224</v>
      </c>
      <c r="F21" s="11" t="s">
        <v>225</v>
      </c>
      <c r="G21" s="11" t="s">
        <v>226</v>
      </c>
      <c r="H21" s="11" t="s">
        <v>227</v>
      </c>
      <c r="I21" s="11" t="s">
        <v>9</v>
      </c>
      <c r="J21" s="11" t="s">
        <v>10</v>
      </c>
      <c r="K21" s="11" t="s">
        <v>228</v>
      </c>
      <c r="L21" s="11" t="s">
        <v>61</v>
      </c>
      <c r="M21" s="11" t="s">
        <v>62</v>
      </c>
      <c r="N21" s="11" t="s">
        <v>63</v>
      </c>
      <c r="O21" s="11" t="s">
        <v>64</v>
      </c>
      <c r="P21" s="11" t="s">
        <v>65</v>
      </c>
      <c r="Q21" s="11" t="s">
        <v>66</v>
      </c>
      <c r="R21" s="11" t="s">
        <v>43</v>
      </c>
      <c r="S21" s="11"/>
      <c r="T21" s="11" t="s">
        <v>229</v>
      </c>
    </row>
    <row r="22" customFormat="false" ht="15" hidden="false" customHeight="false" outlineLevel="0" collapsed="false">
      <c r="B22" s="60" t="n">
        <v>1</v>
      </c>
      <c r="C22" s="29" t="s">
        <v>230</v>
      </c>
      <c r="D22" s="35" t="s">
        <v>231</v>
      </c>
      <c r="E22" s="43" t="n">
        <v>0</v>
      </c>
      <c r="F22" s="43" t="n">
        <v>87000000</v>
      </c>
      <c r="G22" s="61" t="s">
        <v>232</v>
      </c>
      <c r="H22" s="39" t="n">
        <v>40</v>
      </c>
      <c r="I22" s="55" t="n">
        <f aca="false">$E22*Assumptions!$C$12+$F22</f>
        <v>87000000</v>
      </c>
      <c r="J22" s="55" t="n">
        <f aca="false">$E22*Assumptions!$D$12+$F22</f>
        <v>87000000</v>
      </c>
      <c r="K22" s="55" t="n">
        <f aca="false">J22-I22</f>
        <v>0</v>
      </c>
      <c r="L22" s="62" t="n">
        <v>0.5</v>
      </c>
      <c r="M22" s="62" t="n">
        <v>0.2</v>
      </c>
      <c r="N22" s="62" t="n">
        <v>0.1</v>
      </c>
      <c r="O22" s="62" t="n">
        <v>0.1</v>
      </c>
      <c r="P22" s="62" t="n">
        <v>0.1</v>
      </c>
      <c r="Q22" s="62" t="n">
        <v>0</v>
      </c>
      <c r="R22" s="62" t="n">
        <v>0</v>
      </c>
      <c r="U22" s="63" t="str">
        <f aca="false">IF(ABS(SUM(L22:R22)-1)&lt;0.0001,"OK","≠100%")</f>
        <v>OK</v>
      </c>
    </row>
    <row r="23" customFormat="false" ht="15" hidden="false" customHeight="false" outlineLevel="0" collapsed="false">
      <c r="B23" s="60" t="n">
        <v>2</v>
      </c>
      <c r="C23" s="29" t="s">
        <v>230</v>
      </c>
      <c r="D23" s="35" t="s">
        <v>233</v>
      </c>
      <c r="E23" s="43" t="n">
        <v>0</v>
      </c>
      <c r="F23" s="43" t="n">
        <v>0</v>
      </c>
      <c r="G23" s="61" t="s">
        <v>232</v>
      </c>
      <c r="H23" s="39" t="n">
        <v>40</v>
      </c>
      <c r="I23" s="55" t="n">
        <f aca="false">$E23*Assumptions!$C$12+$F23</f>
        <v>0</v>
      </c>
      <c r="J23" s="55" t="n">
        <f aca="false">$E23*Assumptions!$D$12+$F23</f>
        <v>0</v>
      </c>
      <c r="K23" s="55" t="n">
        <f aca="false">J23-I23</f>
        <v>0</v>
      </c>
      <c r="L23" s="62" t="n">
        <v>1</v>
      </c>
      <c r="M23" s="62" t="n">
        <v>0</v>
      </c>
      <c r="N23" s="62" t="n">
        <v>0</v>
      </c>
      <c r="O23" s="62" t="n">
        <v>0</v>
      </c>
      <c r="P23" s="62" t="n">
        <v>0</v>
      </c>
      <c r="Q23" s="62" t="n">
        <v>0</v>
      </c>
      <c r="R23" s="62" t="n">
        <v>0</v>
      </c>
      <c r="U23" s="63" t="str">
        <f aca="false">IF(ABS(SUM(L23:R23)-1)&lt;0.0001,"OK","≠100%")</f>
        <v>OK</v>
      </c>
    </row>
    <row r="24" customFormat="false" ht="15" hidden="false" customHeight="false" outlineLevel="0" collapsed="false">
      <c r="B24" s="60" t="n">
        <v>3</v>
      </c>
      <c r="C24" s="29" t="s">
        <v>230</v>
      </c>
      <c r="D24" s="35" t="s">
        <v>234</v>
      </c>
      <c r="E24" s="43" t="n">
        <v>0</v>
      </c>
      <c r="F24" s="43" t="n">
        <v>58000000</v>
      </c>
      <c r="G24" s="61" t="s">
        <v>232</v>
      </c>
      <c r="H24" s="39" t="n">
        <v>40</v>
      </c>
      <c r="I24" s="55" t="n">
        <f aca="false">$E24*Assumptions!$C$12+$F24</f>
        <v>58000000</v>
      </c>
      <c r="J24" s="55" t="n">
        <f aca="false">$E24*Assumptions!$D$12+$F24</f>
        <v>58000000</v>
      </c>
      <c r="K24" s="55" t="n">
        <f aca="false">J24-I24</f>
        <v>0</v>
      </c>
      <c r="L24" s="62" t="n">
        <v>1</v>
      </c>
      <c r="M24" s="62" t="n">
        <v>0</v>
      </c>
      <c r="N24" s="62" t="n">
        <v>0</v>
      </c>
      <c r="O24" s="62" t="n">
        <v>0</v>
      </c>
      <c r="P24" s="62" t="n">
        <v>0</v>
      </c>
      <c r="Q24" s="62" t="n">
        <v>0</v>
      </c>
      <c r="R24" s="62" t="n">
        <v>0</v>
      </c>
      <c r="U24" s="63" t="str">
        <f aca="false">IF(ABS(SUM(L24:R24)-1)&lt;0.0001,"OK","≠100%")</f>
        <v>OK</v>
      </c>
    </row>
    <row r="25" customFormat="false" ht="15" hidden="false" customHeight="false" outlineLevel="0" collapsed="false">
      <c r="B25" s="60" t="n">
        <v>4</v>
      </c>
      <c r="C25" s="29" t="s">
        <v>235</v>
      </c>
      <c r="D25" s="35" t="s">
        <v>236</v>
      </c>
      <c r="E25" s="64" t="s">
        <v>237</v>
      </c>
      <c r="F25" s="55" t="n">
        <f aca="false">$I$18</f>
        <v>2576970000</v>
      </c>
      <c r="G25" s="61" t="s">
        <v>238</v>
      </c>
      <c r="H25" s="39" t="n">
        <v>40</v>
      </c>
      <c r="I25" s="55" t="n">
        <f aca="false">$F25</f>
        <v>2576970000</v>
      </c>
      <c r="J25" s="55" t="n">
        <f aca="false">$F25</f>
        <v>2576970000</v>
      </c>
      <c r="K25" s="55" t="n">
        <f aca="false">J25-I25</f>
        <v>0</v>
      </c>
      <c r="L25" s="62" t="n">
        <v>0.15</v>
      </c>
      <c r="M25" s="62" t="n">
        <v>0.2</v>
      </c>
      <c r="N25" s="62" t="n">
        <v>0.25</v>
      </c>
      <c r="O25" s="62" t="n">
        <v>0.2</v>
      </c>
      <c r="P25" s="62" t="n">
        <v>0.15</v>
      </c>
      <c r="Q25" s="62" t="n">
        <v>0</v>
      </c>
      <c r="R25" s="62" t="n">
        <v>0.05</v>
      </c>
      <c r="U25" s="63" t="str">
        <f aca="false">IF(ABS(SUM(L25:R25)-1)&lt;0.0001,"OK","≠100%")</f>
        <v>OK</v>
      </c>
    </row>
    <row r="26" customFormat="false" ht="15" hidden="false" customHeight="false" outlineLevel="0" collapsed="false">
      <c r="B26" s="60" t="n">
        <v>5</v>
      </c>
      <c r="C26" s="29" t="s">
        <v>235</v>
      </c>
      <c r="D26" s="35" t="s">
        <v>239</v>
      </c>
      <c r="E26" s="65" t="s">
        <v>240</v>
      </c>
      <c r="F26" s="55" t="n">
        <f aca="false">$E$18</f>
        <v>6850000</v>
      </c>
      <c r="G26" s="61" t="s">
        <v>238</v>
      </c>
      <c r="H26" s="39" t="n">
        <v>40</v>
      </c>
      <c r="I26" s="55" t="n">
        <f aca="false">Assumptions!$C$11*$F26</f>
        <v>0</v>
      </c>
      <c r="J26" s="55" t="n">
        <f aca="false">Assumptions!$D$11*$F26</f>
        <v>397300000</v>
      </c>
      <c r="K26" s="55" t="n">
        <f aca="false">J26-I26</f>
        <v>397300000</v>
      </c>
      <c r="L26" s="62" t="n">
        <v>0</v>
      </c>
      <c r="M26" s="62" t="n">
        <v>0</v>
      </c>
      <c r="N26" s="62" t="n">
        <v>0.3</v>
      </c>
      <c r="O26" s="62" t="n">
        <v>0.4</v>
      </c>
      <c r="P26" s="62" t="n">
        <v>0.25</v>
      </c>
      <c r="Q26" s="62" t="n">
        <v>0</v>
      </c>
      <c r="R26" s="62" t="n">
        <v>0.05</v>
      </c>
      <c r="U26" s="63" t="str">
        <f aca="false">IF(ABS(SUM(L26:R26)-1)&lt;0.0001,"OK","≠100%")</f>
        <v>OK</v>
      </c>
    </row>
    <row r="27" customFormat="false" ht="15" hidden="false" customHeight="false" outlineLevel="0" collapsed="false">
      <c r="B27" s="60" t="n">
        <v>6</v>
      </c>
      <c r="C27" s="29" t="s">
        <v>235</v>
      </c>
      <c r="D27" s="35" t="s">
        <v>241</v>
      </c>
      <c r="E27" s="43" t="n">
        <v>0</v>
      </c>
      <c r="F27" s="43" t="n">
        <v>8500000</v>
      </c>
      <c r="G27" s="61" t="s">
        <v>238</v>
      </c>
      <c r="H27" s="39" t="n">
        <v>40</v>
      </c>
      <c r="I27" s="55" t="n">
        <f aca="false">$E27*Assumptions!$C$12+$F27</f>
        <v>8500000</v>
      </c>
      <c r="J27" s="55" t="n">
        <f aca="false">$E27*Assumptions!$D$12+$F27</f>
        <v>8500000</v>
      </c>
      <c r="K27" s="55" t="n">
        <f aca="false">J27-I27</f>
        <v>0</v>
      </c>
      <c r="L27" s="62" t="n">
        <v>0</v>
      </c>
      <c r="M27" s="62" t="n">
        <v>0</v>
      </c>
      <c r="N27" s="62" t="n">
        <v>0</v>
      </c>
      <c r="O27" s="62" t="n">
        <v>0</v>
      </c>
      <c r="P27" s="62" t="n">
        <v>0.2</v>
      </c>
      <c r="Q27" s="62" t="n">
        <v>0.8</v>
      </c>
      <c r="R27" s="62" t="n">
        <v>0</v>
      </c>
      <c r="U27" s="63" t="str">
        <f aca="false">IF(ABS(SUM(L27:R27)-1)&lt;0.0001,"OK","≠100%")</f>
        <v>OK</v>
      </c>
    </row>
    <row r="28" customFormat="false" ht="15" hidden="false" customHeight="false" outlineLevel="0" collapsed="false">
      <c r="B28" s="60" t="n">
        <v>7</v>
      </c>
      <c r="C28" s="29" t="s">
        <v>242</v>
      </c>
      <c r="D28" s="35" t="s">
        <v>243</v>
      </c>
      <c r="E28" s="43" t="n">
        <v>0</v>
      </c>
      <c r="F28" s="43" t="n">
        <v>335000000</v>
      </c>
      <c r="G28" s="61" t="s">
        <v>238</v>
      </c>
      <c r="H28" s="39" t="n">
        <v>20</v>
      </c>
      <c r="I28" s="55" t="n">
        <f aca="false">$E28*Assumptions!$C$12+$F28</f>
        <v>335000000</v>
      </c>
      <c r="J28" s="55" t="n">
        <f aca="false">$E28*Assumptions!$D$12+$F28</f>
        <v>335000000</v>
      </c>
      <c r="K28" s="55" t="n">
        <f aca="false">J28-I28</f>
        <v>0</v>
      </c>
      <c r="L28" s="62" t="n">
        <v>0</v>
      </c>
      <c r="M28" s="62" t="n">
        <v>0</v>
      </c>
      <c r="N28" s="62" t="n">
        <v>0</v>
      </c>
      <c r="O28" s="62" t="n">
        <v>0.9</v>
      </c>
      <c r="P28" s="62" t="n">
        <v>0.1</v>
      </c>
      <c r="Q28" s="62" t="n">
        <v>0</v>
      </c>
      <c r="R28" s="62" t="n">
        <v>0</v>
      </c>
      <c r="U28" s="63" t="str">
        <f aca="false">IF(ABS(SUM(L28:R28)-1)&lt;0.0001,"OK","≠100%")</f>
        <v>OK</v>
      </c>
    </row>
    <row r="29" customFormat="false" ht="15" hidden="false" customHeight="false" outlineLevel="0" collapsed="false">
      <c r="B29" s="60" t="n">
        <v>8</v>
      </c>
      <c r="C29" s="29" t="s">
        <v>242</v>
      </c>
      <c r="D29" s="35" t="s">
        <v>244</v>
      </c>
      <c r="E29" s="43" t="n">
        <v>0</v>
      </c>
      <c r="F29" s="43" t="n">
        <v>22000000</v>
      </c>
      <c r="G29" s="61" t="s">
        <v>238</v>
      </c>
      <c r="H29" s="39" t="n">
        <v>8</v>
      </c>
      <c r="I29" s="55" t="n">
        <f aca="false">$E29*Assumptions!$C$12+$F29</f>
        <v>22000000</v>
      </c>
      <c r="J29" s="55" t="n">
        <f aca="false">$E29*Assumptions!$D$12+$F29</f>
        <v>22000000</v>
      </c>
      <c r="K29" s="55" t="n">
        <f aca="false">J29-I29</f>
        <v>0</v>
      </c>
      <c r="L29" s="62" t="n">
        <v>0</v>
      </c>
      <c r="M29" s="62" t="n">
        <v>0</v>
      </c>
      <c r="N29" s="62" t="n">
        <v>0</v>
      </c>
      <c r="O29" s="62" t="n">
        <v>0</v>
      </c>
      <c r="P29" s="62" t="n">
        <v>0.5</v>
      </c>
      <c r="Q29" s="62" t="n">
        <v>0.5</v>
      </c>
      <c r="R29" s="62" t="n">
        <v>0</v>
      </c>
      <c r="U29" s="63" t="str">
        <f aca="false">IF(ABS(SUM(L29:R29)-1)&lt;0.0001,"OK","≠100%")</f>
        <v>OK</v>
      </c>
    </row>
    <row r="30" customFormat="false" ht="15" hidden="false" customHeight="false" outlineLevel="0" collapsed="false">
      <c r="B30" s="60" t="n">
        <v>9</v>
      </c>
      <c r="C30" s="29" t="s">
        <v>242</v>
      </c>
      <c r="D30" s="35" t="s">
        <v>245</v>
      </c>
      <c r="E30" s="43" t="n">
        <v>1250000</v>
      </c>
      <c r="F30" s="43" t="n">
        <v>0</v>
      </c>
      <c r="G30" s="61" t="s">
        <v>238</v>
      </c>
      <c r="H30" s="39" t="n">
        <v>8</v>
      </c>
      <c r="I30" s="55" t="n">
        <f aca="false">$E30*Assumptions!$C$12+$F30</f>
        <v>7500000</v>
      </c>
      <c r="J30" s="55" t="n">
        <f aca="false">$E30*Assumptions!$D$12+$F30</f>
        <v>10000000</v>
      </c>
      <c r="K30" s="55" t="n">
        <f aca="false">J30-I30</f>
        <v>2500000</v>
      </c>
      <c r="L30" s="62" t="n">
        <v>0</v>
      </c>
      <c r="M30" s="62" t="n">
        <v>0</v>
      </c>
      <c r="N30" s="62" t="n">
        <v>0</v>
      </c>
      <c r="O30" s="62" t="n">
        <v>0</v>
      </c>
      <c r="P30" s="62" t="n">
        <v>0</v>
      </c>
      <c r="Q30" s="62" t="n">
        <v>1</v>
      </c>
      <c r="R30" s="62" t="n">
        <v>0</v>
      </c>
      <c r="U30" s="63" t="str">
        <f aca="false">IF(ABS(SUM(L30:R30)-1)&lt;0.0001,"OK","≠100%")</f>
        <v>OK</v>
      </c>
    </row>
    <row r="31" customFormat="false" ht="15" hidden="false" customHeight="false" outlineLevel="0" collapsed="false">
      <c r="B31" s="60" t="n">
        <v>10</v>
      </c>
      <c r="C31" s="29" t="s">
        <v>246</v>
      </c>
      <c r="D31" s="35" t="s">
        <v>247</v>
      </c>
      <c r="E31" s="43" t="n">
        <v>8200000</v>
      </c>
      <c r="F31" s="43" t="n">
        <v>8200000</v>
      </c>
      <c r="G31" s="61" t="s">
        <v>238</v>
      </c>
      <c r="H31" s="39" t="n">
        <v>8</v>
      </c>
      <c r="I31" s="55" t="n">
        <f aca="false">$E31*Assumptions!$C$12+$F31</f>
        <v>57400000</v>
      </c>
      <c r="J31" s="55" t="n">
        <f aca="false">$E31*Assumptions!$D$12+$F31</f>
        <v>73800000</v>
      </c>
      <c r="K31" s="55" t="n">
        <f aca="false">J31-I31</f>
        <v>16400000</v>
      </c>
      <c r="L31" s="62" t="n">
        <v>0</v>
      </c>
      <c r="M31" s="62" t="n">
        <v>0</v>
      </c>
      <c r="N31" s="62" t="n">
        <v>0</v>
      </c>
      <c r="O31" s="62" t="n">
        <v>0</v>
      </c>
      <c r="P31" s="62" t="n">
        <v>0.5</v>
      </c>
      <c r="Q31" s="62" t="n">
        <v>0.5</v>
      </c>
      <c r="R31" s="62" t="n">
        <v>0</v>
      </c>
      <c r="U31" s="63" t="str">
        <f aca="false">IF(ABS(SUM(L31:R31)-1)&lt;0.0001,"OK","≠100%")</f>
        <v>OK</v>
      </c>
    </row>
    <row r="32" customFormat="false" ht="15" hidden="false" customHeight="false" outlineLevel="0" collapsed="false">
      <c r="B32" s="60" t="n">
        <v>11</v>
      </c>
      <c r="C32" s="29" t="s">
        <v>246</v>
      </c>
      <c r="D32" s="35" t="s">
        <v>248</v>
      </c>
      <c r="E32" s="43" t="n">
        <v>4700000</v>
      </c>
      <c r="F32" s="43" t="n">
        <v>7800000</v>
      </c>
      <c r="G32" s="61" t="s">
        <v>238</v>
      </c>
      <c r="H32" s="39" t="n">
        <v>8</v>
      </c>
      <c r="I32" s="55" t="n">
        <f aca="false">$E32*Assumptions!$C$12+$F32</f>
        <v>36000000</v>
      </c>
      <c r="J32" s="55" t="n">
        <f aca="false">$E32*Assumptions!$D$12+$F32</f>
        <v>45400000</v>
      </c>
      <c r="K32" s="55" t="n">
        <f aca="false">J32-I32</f>
        <v>9400000</v>
      </c>
      <c r="L32" s="62" t="n">
        <v>0</v>
      </c>
      <c r="M32" s="62" t="n">
        <v>0</v>
      </c>
      <c r="N32" s="62" t="n">
        <v>0</v>
      </c>
      <c r="O32" s="62" t="n">
        <v>0</v>
      </c>
      <c r="P32" s="62" t="n">
        <v>0</v>
      </c>
      <c r="Q32" s="62" t="n">
        <v>1</v>
      </c>
      <c r="R32" s="62" t="n">
        <v>0</v>
      </c>
      <c r="U32" s="63" t="str">
        <f aca="false">IF(ABS(SUM(L32:R32)-1)&lt;0.0001,"OK","≠100%")</f>
        <v>OK</v>
      </c>
    </row>
    <row r="33" customFormat="false" ht="15" hidden="false" customHeight="false" outlineLevel="0" collapsed="false">
      <c r="B33" s="60" t="n">
        <v>12</v>
      </c>
      <c r="C33" s="29" t="s">
        <v>246</v>
      </c>
      <c r="D33" s="35" t="s">
        <v>249</v>
      </c>
      <c r="E33" s="43" t="n">
        <v>3100000</v>
      </c>
      <c r="F33" s="43" t="n">
        <v>3100000</v>
      </c>
      <c r="G33" s="61" t="s">
        <v>238</v>
      </c>
      <c r="H33" s="39" t="n">
        <v>8</v>
      </c>
      <c r="I33" s="55" t="n">
        <f aca="false">$E33*Assumptions!$C$12+$F33</f>
        <v>21700000</v>
      </c>
      <c r="J33" s="55" t="n">
        <f aca="false">$E33*Assumptions!$D$12+$F33</f>
        <v>27900000</v>
      </c>
      <c r="K33" s="55" t="n">
        <f aca="false">J33-I33</f>
        <v>6200000</v>
      </c>
      <c r="L33" s="62" t="n">
        <v>0</v>
      </c>
      <c r="M33" s="62" t="n">
        <v>0</v>
      </c>
      <c r="N33" s="62" t="n">
        <v>0</v>
      </c>
      <c r="O33" s="62" t="n">
        <v>0</v>
      </c>
      <c r="P33" s="62" t="n">
        <v>0</v>
      </c>
      <c r="Q33" s="62" t="n">
        <v>1</v>
      </c>
      <c r="R33" s="62" t="n">
        <v>0</v>
      </c>
      <c r="U33" s="63" t="str">
        <f aca="false">IF(ABS(SUM(L33:R33)-1)&lt;0.0001,"OK","≠100%")</f>
        <v>OK</v>
      </c>
    </row>
    <row r="34" customFormat="false" ht="15" hidden="false" customHeight="false" outlineLevel="0" collapsed="false">
      <c r="B34" s="60" t="n">
        <v>13</v>
      </c>
      <c r="C34" s="29" t="s">
        <v>246</v>
      </c>
      <c r="D34" s="35" t="s">
        <v>250</v>
      </c>
      <c r="E34" s="43" t="n">
        <v>2600000</v>
      </c>
      <c r="F34" s="43" t="n">
        <v>7300000</v>
      </c>
      <c r="G34" s="61" t="s">
        <v>238</v>
      </c>
      <c r="H34" s="39" t="n">
        <v>8</v>
      </c>
      <c r="I34" s="55" t="n">
        <f aca="false">$E34*Assumptions!$C$12+$F34</f>
        <v>22900000</v>
      </c>
      <c r="J34" s="55" t="n">
        <f aca="false">$E34*Assumptions!$D$12+$F34</f>
        <v>28100000</v>
      </c>
      <c r="K34" s="55" t="n">
        <f aca="false">J34-I34</f>
        <v>5200000</v>
      </c>
      <c r="L34" s="62" t="n">
        <v>0</v>
      </c>
      <c r="M34" s="62" t="n">
        <v>0</v>
      </c>
      <c r="N34" s="62" t="n">
        <v>0</v>
      </c>
      <c r="O34" s="62" t="n">
        <v>0</v>
      </c>
      <c r="P34" s="62" t="n">
        <v>0</v>
      </c>
      <c r="Q34" s="62" t="n">
        <v>1</v>
      </c>
      <c r="R34" s="62" t="n">
        <v>0</v>
      </c>
      <c r="U34" s="63" t="str">
        <f aca="false">IF(ABS(SUM(L34:R34)-1)&lt;0.0001,"OK","≠100%")</f>
        <v>OK</v>
      </c>
    </row>
    <row r="35" customFormat="false" ht="15" hidden="false" customHeight="false" outlineLevel="0" collapsed="false">
      <c r="B35" s="60" t="n">
        <v>14</v>
      </c>
      <c r="C35" s="29" t="s">
        <v>246</v>
      </c>
      <c r="D35" s="35" t="s">
        <v>251</v>
      </c>
      <c r="E35" s="43" t="n">
        <v>4800000</v>
      </c>
      <c r="F35" s="43" t="n">
        <v>0</v>
      </c>
      <c r="G35" s="61" t="s">
        <v>238</v>
      </c>
      <c r="H35" s="39" t="n">
        <v>8</v>
      </c>
      <c r="I35" s="55" t="n">
        <f aca="false">$E35*Assumptions!$C$12+$F35</f>
        <v>28800000</v>
      </c>
      <c r="J35" s="55" t="n">
        <f aca="false">$E35*Assumptions!$D$12+$F35</f>
        <v>38400000</v>
      </c>
      <c r="K35" s="55" t="n">
        <f aca="false">J35-I35</f>
        <v>9600000</v>
      </c>
      <c r="L35" s="62" t="n">
        <v>0</v>
      </c>
      <c r="M35" s="62" t="n">
        <v>0</v>
      </c>
      <c r="N35" s="62" t="n">
        <v>0</v>
      </c>
      <c r="O35" s="62" t="n">
        <v>0</v>
      </c>
      <c r="P35" s="62" t="n">
        <v>0</v>
      </c>
      <c r="Q35" s="62" t="n">
        <v>1</v>
      </c>
      <c r="R35" s="62" t="n">
        <v>0</v>
      </c>
      <c r="U35" s="63" t="str">
        <f aca="false">IF(ABS(SUM(L35:R35)-1)&lt;0.0001,"OK","≠100%")</f>
        <v>OK</v>
      </c>
    </row>
    <row r="36" customFormat="false" ht="15" hidden="false" customHeight="false" outlineLevel="0" collapsed="false">
      <c r="B36" s="60" t="n">
        <v>15</v>
      </c>
      <c r="C36" s="29" t="s">
        <v>246</v>
      </c>
      <c r="D36" s="35" t="s">
        <v>252</v>
      </c>
      <c r="E36" s="43" t="n">
        <v>3900000</v>
      </c>
      <c r="F36" s="43" t="n">
        <v>5200000</v>
      </c>
      <c r="G36" s="61" t="s">
        <v>238</v>
      </c>
      <c r="H36" s="39" t="n">
        <v>8</v>
      </c>
      <c r="I36" s="55" t="n">
        <f aca="false">$E36*Assumptions!$C$12+$F36</f>
        <v>28600000</v>
      </c>
      <c r="J36" s="55" t="n">
        <f aca="false">$E36*Assumptions!$D$12+$F36</f>
        <v>36400000</v>
      </c>
      <c r="K36" s="55" t="n">
        <f aca="false">J36-I36</f>
        <v>7800000</v>
      </c>
      <c r="L36" s="62" t="n">
        <v>0</v>
      </c>
      <c r="M36" s="62" t="n">
        <v>0</v>
      </c>
      <c r="N36" s="62" t="n">
        <v>0</v>
      </c>
      <c r="O36" s="62" t="n">
        <v>0</v>
      </c>
      <c r="P36" s="62" t="n">
        <v>0</v>
      </c>
      <c r="Q36" s="62" t="n">
        <v>1</v>
      </c>
      <c r="R36" s="62" t="n">
        <v>0</v>
      </c>
      <c r="U36" s="63" t="str">
        <f aca="false">IF(ABS(SUM(L36:R36)-1)&lt;0.0001,"OK","≠100%")</f>
        <v>OK</v>
      </c>
    </row>
    <row r="37" customFormat="false" ht="15" hidden="false" customHeight="false" outlineLevel="0" collapsed="false">
      <c r="B37" s="60" t="n">
        <v>16</v>
      </c>
      <c r="C37" s="29" t="s">
        <v>246</v>
      </c>
      <c r="D37" s="35" t="s">
        <v>253</v>
      </c>
      <c r="E37" s="43" t="n">
        <v>4200000</v>
      </c>
      <c r="F37" s="43" t="n">
        <v>0</v>
      </c>
      <c r="G37" s="61" t="s">
        <v>238</v>
      </c>
      <c r="H37" s="39" t="n">
        <v>8</v>
      </c>
      <c r="I37" s="55" t="n">
        <f aca="false">$E37*Assumptions!$C$12+$F37</f>
        <v>25200000</v>
      </c>
      <c r="J37" s="55" t="n">
        <f aca="false">$E37*Assumptions!$D$12+$F37</f>
        <v>33600000</v>
      </c>
      <c r="K37" s="55" t="n">
        <f aca="false">J37-I37</f>
        <v>8400000</v>
      </c>
      <c r="L37" s="62" t="n">
        <v>0</v>
      </c>
      <c r="M37" s="62" t="n">
        <v>0</v>
      </c>
      <c r="N37" s="62" t="n">
        <v>0</v>
      </c>
      <c r="O37" s="62" t="n">
        <v>0</v>
      </c>
      <c r="P37" s="62" t="n">
        <v>0</v>
      </c>
      <c r="Q37" s="62" t="n">
        <v>1</v>
      </c>
      <c r="R37" s="62" t="n">
        <v>0</v>
      </c>
      <c r="U37" s="63" t="str">
        <f aca="false">IF(ABS(SUM(L37:R37)-1)&lt;0.0001,"OK","≠100%")</f>
        <v>OK</v>
      </c>
    </row>
    <row r="38" customFormat="false" ht="15" hidden="false" customHeight="false" outlineLevel="0" collapsed="false">
      <c r="B38" s="60" t="n">
        <v>17</v>
      </c>
      <c r="C38" s="29" t="s">
        <v>246</v>
      </c>
      <c r="D38" s="35" t="s">
        <v>254</v>
      </c>
      <c r="E38" s="43" t="n">
        <v>0</v>
      </c>
      <c r="F38" s="43" t="n">
        <v>12600000</v>
      </c>
      <c r="G38" s="61" t="s">
        <v>238</v>
      </c>
      <c r="H38" s="39" t="n">
        <v>8</v>
      </c>
      <c r="I38" s="55" t="n">
        <f aca="false">$E38*Assumptions!$C$12+$F38</f>
        <v>12600000</v>
      </c>
      <c r="J38" s="55" t="n">
        <f aca="false">$E38*Assumptions!$D$12+$F38</f>
        <v>12600000</v>
      </c>
      <c r="K38" s="55" t="n">
        <f aca="false">J38-I38</f>
        <v>0</v>
      </c>
      <c r="L38" s="62" t="n">
        <v>0</v>
      </c>
      <c r="M38" s="62" t="n">
        <v>0</v>
      </c>
      <c r="N38" s="62" t="n">
        <v>0</v>
      </c>
      <c r="O38" s="62" t="n">
        <v>0</v>
      </c>
      <c r="P38" s="62" t="n">
        <v>0</v>
      </c>
      <c r="Q38" s="62" t="n">
        <v>1</v>
      </c>
      <c r="R38" s="62" t="n">
        <v>0</v>
      </c>
      <c r="U38" s="63" t="str">
        <f aca="false">IF(ABS(SUM(L38:R38)-1)&lt;0.0001,"OK","≠100%")</f>
        <v>OK</v>
      </c>
    </row>
    <row r="39" customFormat="false" ht="15" hidden="false" customHeight="false" outlineLevel="0" collapsed="false">
      <c r="B39" s="60" t="n">
        <v>18</v>
      </c>
      <c r="C39" s="29" t="s">
        <v>246</v>
      </c>
      <c r="D39" s="35" t="s">
        <v>255</v>
      </c>
      <c r="E39" s="43" t="n">
        <v>9400000</v>
      </c>
      <c r="F39" s="43" t="n">
        <v>11500000</v>
      </c>
      <c r="G39" s="61" t="s">
        <v>238</v>
      </c>
      <c r="H39" s="39" t="n">
        <v>8</v>
      </c>
      <c r="I39" s="55" t="n">
        <f aca="false">$E39*Assumptions!$C$12+$F39</f>
        <v>67900000</v>
      </c>
      <c r="J39" s="55" t="n">
        <f aca="false">$E39*Assumptions!$D$12+$F39</f>
        <v>86700000</v>
      </c>
      <c r="K39" s="55" t="n">
        <f aca="false">J39-I39</f>
        <v>18800000</v>
      </c>
      <c r="L39" s="62" t="n">
        <v>0</v>
      </c>
      <c r="M39" s="62" t="n">
        <v>0</v>
      </c>
      <c r="N39" s="62" t="n">
        <v>0</v>
      </c>
      <c r="O39" s="62" t="n">
        <v>0.5</v>
      </c>
      <c r="P39" s="62" t="n">
        <v>0.5</v>
      </c>
      <c r="Q39" s="62" t="n">
        <v>0</v>
      </c>
      <c r="R39" s="62" t="n">
        <v>0</v>
      </c>
      <c r="U39" s="63" t="str">
        <f aca="false">IF(ABS(SUM(L39:R39)-1)&lt;0.0001,"OK","≠100%")</f>
        <v>OK</v>
      </c>
    </row>
    <row r="40" customFormat="false" ht="15" hidden="false" customHeight="false" outlineLevel="0" collapsed="false">
      <c r="B40" s="60" t="n">
        <v>19</v>
      </c>
      <c r="C40" s="29" t="s">
        <v>246</v>
      </c>
      <c r="D40" s="35" t="s">
        <v>256</v>
      </c>
      <c r="E40" s="43" t="n">
        <v>2400000</v>
      </c>
      <c r="F40" s="43" t="n">
        <v>2900000</v>
      </c>
      <c r="G40" s="61" t="s">
        <v>238</v>
      </c>
      <c r="H40" s="39" t="n">
        <v>8</v>
      </c>
      <c r="I40" s="55" t="n">
        <f aca="false">$E40*Assumptions!$C$12+$F40</f>
        <v>17300000</v>
      </c>
      <c r="J40" s="55" t="n">
        <f aca="false">$E40*Assumptions!$D$12+$F40</f>
        <v>22100000</v>
      </c>
      <c r="K40" s="55" t="n">
        <f aca="false">J40-I40</f>
        <v>4800000</v>
      </c>
      <c r="L40" s="62" t="n">
        <v>0</v>
      </c>
      <c r="M40" s="62" t="n">
        <v>0</v>
      </c>
      <c r="N40" s="62" t="n">
        <v>0</v>
      </c>
      <c r="O40" s="62" t="n">
        <v>0</v>
      </c>
      <c r="P40" s="62" t="n">
        <v>0</v>
      </c>
      <c r="Q40" s="62" t="n">
        <v>1</v>
      </c>
      <c r="R40" s="62" t="n">
        <v>0</v>
      </c>
      <c r="U40" s="63" t="str">
        <f aca="false">IF(ABS(SUM(L40:R40)-1)&lt;0.0001,"OK","≠100%")</f>
        <v>OK</v>
      </c>
    </row>
    <row r="41" customFormat="false" ht="15" hidden="false" customHeight="false" outlineLevel="0" collapsed="false">
      <c r="B41" s="60" t="n">
        <v>20</v>
      </c>
      <c r="C41" s="29" t="s">
        <v>257</v>
      </c>
      <c r="D41" s="35" t="s">
        <v>258</v>
      </c>
      <c r="E41" s="43" t="n">
        <v>0</v>
      </c>
      <c r="F41" s="43" t="n">
        <v>25000000</v>
      </c>
      <c r="G41" s="61" t="s">
        <v>232</v>
      </c>
      <c r="H41" s="39" t="n">
        <v>1</v>
      </c>
      <c r="I41" s="55" t="n">
        <f aca="false">$E41*Assumptions!$C$12+$F41</f>
        <v>25000000</v>
      </c>
      <c r="J41" s="55" t="n">
        <f aca="false">$E41*Assumptions!$D$12+$F41</f>
        <v>25000000</v>
      </c>
      <c r="K41" s="55" t="n">
        <f aca="false">J41-I41</f>
        <v>0</v>
      </c>
      <c r="L41" s="62" t="n">
        <v>0</v>
      </c>
      <c r="M41" s="62" t="n">
        <v>0</v>
      </c>
      <c r="N41" s="62" t="n">
        <v>0</v>
      </c>
      <c r="O41" s="62" t="n">
        <v>0</v>
      </c>
      <c r="P41" s="62" t="n">
        <v>0</v>
      </c>
      <c r="Q41" s="62" t="n">
        <v>1</v>
      </c>
      <c r="R41" s="62" t="n">
        <v>0</v>
      </c>
      <c r="U41" s="63" t="str">
        <f aca="false">IF(ABS(SUM(L41:R41)-1)&lt;0.0001,"OK","≠100%")</f>
        <v>OK</v>
      </c>
    </row>
    <row r="42" customFormat="false" ht="15" hidden="false" customHeight="false" outlineLevel="0" collapsed="false">
      <c r="D42" s="27" t="s">
        <v>259</v>
      </c>
      <c r="I42" s="66" t="n">
        <f aca="false">SUM(I22:I41)</f>
        <v>3438370000</v>
      </c>
      <c r="J42" s="66" t="n">
        <f aca="false">SUM(J22:J41)</f>
        <v>3924770000</v>
      </c>
      <c r="K42" s="66" t="n">
        <f aca="false">SUM(K22:K41)</f>
        <v>486400000</v>
      </c>
    </row>
    <row r="43" customFormat="false" ht="15" hidden="false" customHeight="false" outlineLevel="0" collapsed="false">
      <c r="D43" s="35" t="s">
        <v>260</v>
      </c>
      <c r="I43" s="55" t="n">
        <f aca="false">SUMPRODUCT((G22:G41="Y")*I22:I41)*Assumptions!$C$50</f>
        <v>261469600</v>
      </c>
      <c r="J43" s="55" t="n">
        <f aca="false">SUMPRODUCT((G22:G41="Y")*J22:J41)*Assumptions!$C$50</f>
        <v>300381600</v>
      </c>
      <c r="K43" s="55" t="n">
        <f aca="false">J43-I43</f>
        <v>38912000</v>
      </c>
    </row>
    <row r="44" customFormat="false" ht="15" hidden="false" customHeight="false" outlineLevel="0" collapsed="false">
      <c r="D44" s="35" t="s">
        <v>261</v>
      </c>
      <c r="I44" s="55" t="n">
        <f aca="false">((SUMIF(C22:C41,"Construction",I22:I41)+SUMIF(C22:C41,"Systems",I22:I41))*Assumptions!$C$51+(I42-(SUMIF(C22:C41,"Construction",I22:I41)+SUMIF(C22:C41,"Systems",I22:I41)))*Assumptions!$C$52)*(1+I43/I42)</f>
        <v>343706949.953961</v>
      </c>
      <c r="J44" s="55" t="n">
        <f aca="false">((SUMIF(C22:C41,"Construction",J22:J41)+SUMIF(C22:C41,"Systems",J22:J41))*Assumptions!$C$51+(J42-(SUMIF(C22:C41,"Construction",J22:J41)+SUMIF(C22:C41,"Systems",J22:J41)))*Assumptions!$C$52)*(1+J43/J42)</f>
        <v>391564783.672215</v>
      </c>
      <c r="K44" s="55" t="n">
        <f aca="false">J44-I44</f>
        <v>47857833.7182544</v>
      </c>
    </row>
    <row r="45" customFormat="false" ht="15" hidden="false" customHeight="false" outlineLevel="0" collapsed="false">
      <c r="D45" s="33" t="s">
        <v>262</v>
      </c>
      <c r="I45" s="67" t="n">
        <f aca="false">I42+I43+I44</f>
        <v>4043546549.95396</v>
      </c>
      <c r="J45" s="67" t="n">
        <f aca="false">J42+J43+J44</f>
        <v>4616716383.67222</v>
      </c>
      <c r="K45" s="67" t="n">
        <f aca="false">K42+K43+K44</f>
        <v>573169833.718254</v>
      </c>
    </row>
    <row r="46" customFormat="false" ht="15" hidden="false" customHeight="false" outlineLevel="0" collapsed="false">
      <c r="D46" s="68" t="s">
        <v>263</v>
      </c>
      <c r="I46" s="69" t="n">
        <f aca="false">I45/Assumptions!$C$12</f>
        <v>673924424.992327</v>
      </c>
      <c r="J46" s="69" t="n">
        <f aca="false">J45/Assumptions!$D$12</f>
        <v>577089547.959027</v>
      </c>
      <c r="K46" s="69" t="n">
        <f aca="false">IF(Assumptions!$D$12-Assumptions!$C$12=0,0,K45/(Assumptions!$D$12-Assumptions!$C$12))</f>
        <v>286584916.859127</v>
      </c>
      <c r="L46" s="32" t="s">
        <v>264</v>
      </c>
    </row>
    <row r="48" customFormat="false" ht="15" hidden="false" customHeight="false" outlineLevel="0" collapsed="false">
      <c r="B48" s="8" t="s">
        <v>265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customFormat="false" ht="23.85" hidden="false" customHeight="false" outlineLevel="0" collapsed="false">
      <c r="B49" s="10"/>
      <c r="C49" s="11"/>
      <c r="D49" s="11" t="s">
        <v>266</v>
      </c>
      <c r="E49" s="11"/>
      <c r="F49" s="11"/>
      <c r="G49" s="11"/>
      <c r="H49" s="11"/>
      <c r="I49" s="11" t="s">
        <v>267</v>
      </c>
      <c r="J49" s="11" t="s">
        <v>268</v>
      </c>
      <c r="K49" s="11"/>
      <c r="L49" s="11" t="s">
        <v>61</v>
      </c>
      <c r="M49" s="11" t="s">
        <v>62</v>
      </c>
      <c r="N49" s="11" t="s">
        <v>63</v>
      </c>
      <c r="O49" s="11" t="s">
        <v>64</v>
      </c>
      <c r="P49" s="11" t="s">
        <v>65</v>
      </c>
      <c r="Q49" s="11" t="s">
        <v>66</v>
      </c>
      <c r="R49" s="11" t="s">
        <v>43</v>
      </c>
      <c r="S49" s="11"/>
      <c r="T49" s="11" t="s">
        <v>229</v>
      </c>
    </row>
    <row r="50" customFormat="false" ht="15" hidden="false" customHeight="false" outlineLevel="0" collapsed="false">
      <c r="D50" s="27" t="s">
        <v>9</v>
      </c>
      <c r="I50" s="70" t="n">
        <f aca="false">SUM(L50:Q50)</f>
        <v>3892019835.94653</v>
      </c>
      <c r="J50" s="70" t="n">
        <f aca="false">R50</f>
        <v>151526714.007435</v>
      </c>
      <c r="L50" s="71" t="n">
        <f aca="false">SUMPRODUCT(I22:I41,L22:L41)*I45/I42</f>
        <v>573944833.669895</v>
      </c>
      <c r="M50" s="71" t="n">
        <f aca="false">SUMPRODUCT(I22:I41,M22:M41)*I45/I42</f>
        <v>626569374.597897</v>
      </c>
      <c r="N50" s="71" t="n">
        <f aca="false">SUMPRODUCT(I22:I41,N22:N41)*I45/I42</f>
        <v>767864829.321252</v>
      </c>
      <c r="O50" s="71" t="n">
        <f aca="false">SUMPRODUCT(I22:I41,O22:O41)*I45/I42</f>
        <v>1010829601.158</v>
      </c>
      <c r="P50" s="71" t="n">
        <f aca="false">SUMPRODUCT(I22:I41,P22:P41)*I45/I42</f>
        <v>592819743.0388</v>
      </c>
      <c r="Q50" s="71" t="n">
        <f aca="false">SUMPRODUCT(I22:I41,Q22:Q41)*I45/I42</f>
        <v>319991454.160684</v>
      </c>
      <c r="R50" s="71" t="n">
        <f aca="false">SUMPRODUCT(I22:I41,R22:R41)*I45/I42</f>
        <v>151526714.007435</v>
      </c>
      <c r="U50" s="63" t="str">
        <f aca="false">IF(ABS(I50+J50-I45)&lt;1,"OK","ERR")</f>
        <v>OK</v>
      </c>
    </row>
    <row r="51" customFormat="false" ht="15" hidden="false" customHeight="false" outlineLevel="0" collapsed="false">
      <c r="D51" s="27" t="s">
        <v>10</v>
      </c>
      <c r="I51" s="70" t="n">
        <f aca="false">SUM(L51:Q51)</f>
        <v>4441784336.20874</v>
      </c>
      <c r="J51" s="70" t="n">
        <f aca="false">R51</f>
        <v>174932047.463479</v>
      </c>
      <c r="L51" s="71" t="n">
        <f aca="false">SUMPRODUCT(J22:J41,L22:L41)*J45/J42</f>
        <v>574089094.603632</v>
      </c>
      <c r="M51" s="71" t="n">
        <f aca="false">SUMPRODUCT(J22:J41,M22:M41)*J45/J42</f>
        <v>626726862.700809</v>
      </c>
      <c r="N51" s="71" t="n">
        <f aca="false">SUMPRODUCT(J22:J41,N22:N41)*J45/J42</f>
        <v>908261315.469642</v>
      </c>
      <c r="O51" s="71" t="n">
        <f aca="false">SUMPRODUCT(J22:J41,O22:O41)*J45/J42</f>
        <v>1209078893.53691</v>
      </c>
      <c r="P51" s="71" t="n">
        <f aca="false">SUMPRODUCT(J22:J41,P22:P41)*J45/J42</f>
        <v>730507906.691682</v>
      </c>
      <c r="Q51" s="71" t="n">
        <f aca="false">SUMPRODUCT(J22:J41,Q22:Q41)*J45/J42</f>
        <v>393120263.206062</v>
      </c>
      <c r="R51" s="71" t="n">
        <f aca="false">SUMPRODUCT(J22:J41,R22:R41)*J45/J42</f>
        <v>174932047.463479</v>
      </c>
      <c r="U51" s="63" t="str">
        <f aca="false">IF(ABS(I51+J51-J45)&lt;1,"OK","ERR")</f>
        <v>OK</v>
      </c>
    </row>
    <row r="52" customFormat="false" ht="15" hidden="false" customHeight="false" outlineLevel="0" collapsed="false">
      <c r="L52" s="26" t="s">
        <v>269</v>
      </c>
    </row>
    <row r="54" customFormat="false" ht="15" hidden="false" customHeight="false" outlineLevel="0" collapsed="false">
      <c r="B54" s="8" t="s">
        <v>270</v>
      </c>
      <c r="C54" s="9"/>
      <c r="D54" s="9"/>
      <c r="E54" s="9"/>
      <c r="F54" s="9"/>
      <c r="G54" s="9"/>
      <c r="H54" s="9"/>
      <c r="I54" s="9"/>
      <c r="J54" s="9"/>
      <c r="K54" s="9"/>
    </row>
    <row r="55" customFormat="false" ht="15" hidden="false" customHeight="false" outlineLevel="0" collapsed="false">
      <c r="B55" s="10"/>
      <c r="C55" s="11"/>
      <c r="D55" s="11" t="s">
        <v>271</v>
      </c>
      <c r="E55" s="11"/>
      <c r="F55" s="11"/>
      <c r="G55" s="11"/>
      <c r="H55" s="11"/>
      <c r="I55" s="11" t="s">
        <v>9</v>
      </c>
      <c r="J55" s="11" t="s">
        <v>10</v>
      </c>
      <c r="K55" s="11" t="s">
        <v>272</v>
      </c>
    </row>
    <row r="56" customFormat="false" ht="15" hidden="false" customHeight="false" outlineLevel="0" collapsed="false">
      <c r="D56" s="35" t="s">
        <v>273</v>
      </c>
      <c r="I56" s="55" t="n">
        <f aca="false">SUMIF(C22:C41,"Soft",I22:I41)</f>
        <v>145000000</v>
      </c>
      <c r="J56" s="55" t="n">
        <f aca="false">SUMIF(C22:C41,"Soft",J22:J41)</f>
        <v>145000000</v>
      </c>
      <c r="K56" s="55" t="n">
        <f aca="false">J56-I56</f>
        <v>0</v>
      </c>
    </row>
    <row r="57" customFormat="false" ht="15" hidden="false" customHeight="false" outlineLevel="0" collapsed="false">
      <c r="D57" s="35" t="s">
        <v>274</v>
      </c>
      <c r="I57" s="55" t="n">
        <f aca="false">SUMIF(C22:C41,"Construction",I22:I41)</f>
        <v>2585470000</v>
      </c>
      <c r="J57" s="55" t="n">
        <f aca="false">SUMIF(C22:C41,"Construction",J22:J41)</f>
        <v>2982770000</v>
      </c>
      <c r="K57" s="55" t="n">
        <f aca="false">J57-I57</f>
        <v>397300000</v>
      </c>
    </row>
    <row r="58" customFormat="false" ht="15" hidden="false" customHeight="false" outlineLevel="0" collapsed="false">
      <c r="D58" s="35" t="s">
        <v>275</v>
      </c>
      <c r="I58" s="55" t="n">
        <f aca="false">SUMIF(C22:C41,"Systems",I22:I41)</f>
        <v>364500000</v>
      </c>
      <c r="J58" s="55" t="n">
        <f aca="false">SUMIF(C22:C41,"Systems",J22:J41)</f>
        <v>367000000</v>
      </c>
      <c r="K58" s="55" t="n">
        <f aca="false">J58-I58</f>
        <v>2500000</v>
      </c>
    </row>
    <row r="59" customFormat="false" ht="15" hidden="false" customHeight="false" outlineLevel="0" collapsed="false">
      <c r="D59" s="35" t="s">
        <v>276</v>
      </c>
      <c r="I59" s="55" t="n">
        <f aca="false">SUMIF(C22:C41,"FF&amp;E",I22:I41)</f>
        <v>318400000</v>
      </c>
      <c r="J59" s="55" t="n">
        <f aca="false">SUMIF(C22:C41,"FF&amp;E",J22:J41)</f>
        <v>405000000</v>
      </c>
      <c r="K59" s="55" t="n">
        <f aca="false">J59-I59</f>
        <v>86600000</v>
      </c>
    </row>
    <row r="60" customFormat="false" ht="15" hidden="false" customHeight="false" outlineLevel="0" collapsed="false">
      <c r="D60" s="35" t="s">
        <v>257</v>
      </c>
      <c r="I60" s="55" t="n">
        <f aca="false">SUMIF(C22:C41,"Pre-opening",I22:I41)</f>
        <v>25000000</v>
      </c>
      <c r="J60" s="55" t="n">
        <f aca="false">SUMIF(C22:C41,"Pre-opening",J22:J41)</f>
        <v>25000000</v>
      </c>
      <c r="K60" s="55" t="n">
        <f aca="false">J60-I60</f>
        <v>0</v>
      </c>
    </row>
    <row r="61" customFormat="false" ht="15" hidden="false" customHeight="false" outlineLevel="0" collapsed="false">
      <c r="D61" s="35" t="s">
        <v>226</v>
      </c>
      <c r="I61" s="55" t="n">
        <f aca="false">I43</f>
        <v>261469600</v>
      </c>
      <c r="J61" s="55" t="n">
        <f aca="false">J43</f>
        <v>300381600</v>
      </c>
      <c r="K61" s="55" t="n">
        <f aca="false">J61-I61</f>
        <v>38912000</v>
      </c>
    </row>
    <row r="62" customFormat="false" ht="15" hidden="false" customHeight="false" outlineLevel="0" collapsed="false">
      <c r="D62" s="35" t="s">
        <v>277</v>
      </c>
      <c r="I62" s="55" t="n">
        <f aca="false">I44</f>
        <v>343706949.953961</v>
      </c>
      <c r="J62" s="55" t="n">
        <f aca="false">J44</f>
        <v>391564783.672215</v>
      </c>
      <c r="K62" s="55" t="n">
        <f aca="false">J62-I62</f>
        <v>47857833.7182544</v>
      </c>
    </row>
    <row r="63" customFormat="false" ht="15" hidden="false" customHeight="false" outlineLevel="0" collapsed="false">
      <c r="D63" s="27" t="s">
        <v>278</v>
      </c>
      <c r="I63" s="72" t="n">
        <f aca="false">SUM(I56:I62)</f>
        <v>4043546549.95396</v>
      </c>
      <c r="J63" s="72" t="n">
        <f aca="false">SUM(J56:J62)</f>
        <v>4616716383.67222</v>
      </c>
      <c r="K63" s="72" t="n">
        <f aca="false">SUM(K56:K62)</f>
        <v>573169833.718254</v>
      </c>
    </row>
    <row r="65" customFormat="false" ht="15" hidden="false" customHeight="false" outlineLevel="0" collapsed="false">
      <c r="D65" s="27" t="s">
        <v>279</v>
      </c>
      <c r="I65" s="70" t="n">
        <f aca="false">SUMPRODUCT(I22:I41,(1-Assumptions!$C$57/H22:H41)*(H22:H41&gt;Assumptions!$C$57))</f>
        <v>2215352500</v>
      </c>
      <c r="J65" s="70" t="n">
        <f aca="false">SUMPRODUCT(J22:J41,(1-Assumptions!$C$57/H22:H41)*(H22:H41&gt;Assumptions!$C$57))</f>
        <v>2513327500</v>
      </c>
      <c r="K65" s="55" t="n">
        <f aca="false">J65-I65</f>
        <v>297975000</v>
      </c>
    </row>
    <row r="66" customFormat="false" ht="15" hidden="false" customHeight="false" outlineLevel="0" collapsed="false">
      <c r="D66" s="32" t="s">
        <v>280</v>
      </c>
    </row>
  </sheetData>
  <mergeCells count="10">
    <mergeCell ref="C6:D6"/>
    <mergeCell ref="C7:D7"/>
    <mergeCell ref="C8:D8"/>
    <mergeCell ref="C9:D9"/>
    <mergeCell ref="C10:D10"/>
    <mergeCell ref="C11:D11"/>
    <mergeCell ref="C12:D12"/>
    <mergeCell ref="C16:D16"/>
    <mergeCell ref="C17:D17"/>
    <mergeCell ref="C18:D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true"/>
  </sheetPr>
  <dimension ref="B2:N1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2"/>
    <col collapsed="false" customWidth="true" hidden="false" outlineLevel="0" max="3" min="3" style="0" width="11"/>
    <col collapsed="false" customWidth="true" hidden="false" outlineLevel="0" max="14" min="4" style="0" width="10.51"/>
    <col collapsed="false" customWidth="true" hidden="false" outlineLevel="0" max="15" min="15" style="0" width="3"/>
    <col collapsed="false" customWidth="true" hidden="false" outlineLevel="0" max="16" min="16" style="0" width="30"/>
    <col collapsed="false" customWidth="true" hidden="false" outlineLevel="0" max="17" min="17" style="0" width="14"/>
  </cols>
  <sheetData>
    <row r="2" customFormat="false" ht="19.7" hidden="false" customHeight="false" outlineLevel="0" collapsed="false">
      <c r="B2" s="31" t="s">
        <v>281</v>
      </c>
    </row>
    <row r="3" customFormat="false" ht="15" hidden="false" customHeight="false" outlineLevel="0" collapsed="false">
      <c r="B3" s="32" t="s">
        <v>282</v>
      </c>
    </row>
    <row r="5" customFormat="false" ht="15" hidden="false" customHeight="false" outlineLevel="0" collapsed="false">
      <c r="B5" s="8" t="s">
        <v>283</v>
      </c>
      <c r="C5" s="73" t="str">
        <f aca="false">TEXT(Assumptions!$C$12,"0")&amp;" rooms ("&amp;TEXT(Assumptions!$C$9,"0")&amp;" large + "&amp;TEXT(Assumptions!$C$10,"0")&amp;" small)"</f>
        <v>6 rooms (4 large + 2 small)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customFormat="false" ht="15" hidden="false" customHeight="false" outlineLevel="0" collapsed="false">
      <c r="B6" s="10" t="s">
        <v>269</v>
      </c>
      <c r="C6" s="11" t="s">
        <v>74</v>
      </c>
      <c r="D6" s="11" t="s">
        <v>284</v>
      </c>
      <c r="E6" s="11" t="s">
        <v>285</v>
      </c>
      <c r="F6" s="11" t="s">
        <v>286</v>
      </c>
      <c r="G6" s="11" t="s">
        <v>287</v>
      </c>
      <c r="H6" s="11" t="s">
        <v>288</v>
      </c>
      <c r="I6" s="11" t="s">
        <v>289</v>
      </c>
      <c r="J6" s="11" t="s">
        <v>290</v>
      </c>
      <c r="K6" s="11" t="s">
        <v>291</v>
      </c>
      <c r="L6" s="11" t="s">
        <v>292</v>
      </c>
      <c r="M6" s="11" t="s">
        <v>293</v>
      </c>
      <c r="N6" s="11" t="s">
        <v>294</v>
      </c>
    </row>
    <row r="7" customFormat="false" ht="15" hidden="false" customHeight="false" outlineLevel="0" collapsed="false">
      <c r="B7" s="74" t="s">
        <v>295</v>
      </c>
      <c r="C7" s="75"/>
      <c r="D7" s="76" t="n">
        <v>0</v>
      </c>
      <c r="E7" s="76" t="n">
        <v>1</v>
      </c>
      <c r="F7" s="76" t="n">
        <v>2</v>
      </c>
      <c r="G7" s="76" t="n">
        <v>3</v>
      </c>
      <c r="H7" s="76" t="n">
        <v>4</v>
      </c>
      <c r="I7" s="76" t="n">
        <v>5</v>
      </c>
      <c r="J7" s="76" t="n">
        <v>6</v>
      </c>
      <c r="K7" s="76" t="n">
        <v>7</v>
      </c>
      <c r="L7" s="76" t="n">
        <v>8</v>
      </c>
      <c r="M7" s="76" t="n">
        <v>9</v>
      </c>
      <c r="N7" s="76" t="n">
        <v>10</v>
      </c>
    </row>
    <row r="8" customFormat="false" ht="15" hidden="false" customHeight="false" outlineLevel="0" collapsed="false">
      <c r="B8" s="77" t="s">
        <v>296</v>
      </c>
      <c r="C8" s="75" t="s">
        <v>97</v>
      </c>
      <c r="D8" s="78" t="n">
        <f aca="false">IF(D$7=0,0,IF(D$7=1,Assumptions!$C$20,IF(D$7=2,Assumptions!$C$21,Assumptions!$C$22)))</f>
        <v>0</v>
      </c>
      <c r="E8" s="78" t="n">
        <f aca="false">IF(E$7=0,0,IF(E$7=1,Assumptions!$C$20,IF(E$7=2,Assumptions!$C$21,Assumptions!$C$22)))</f>
        <v>0.78</v>
      </c>
      <c r="F8" s="78" t="n">
        <f aca="false">IF(F$7=0,0,IF(F$7=1,Assumptions!$C$20,IF(F$7=2,Assumptions!$C$21,Assumptions!$C$22)))</f>
        <v>0.86</v>
      </c>
      <c r="G8" s="78" t="n">
        <f aca="false">IF(G$7=0,0,IF(G$7=1,Assumptions!$C$20,IF(G$7=2,Assumptions!$C$21,Assumptions!$C$22)))</f>
        <v>0.9</v>
      </c>
      <c r="H8" s="78" t="n">
        <f aca="false">IF(H$7=0,0,IF(H$7=1,Assumptions!$C$20,IF(H$7=2,Assumptions!$C$21,Assumptions!$C$22)))</f>
        <v>0.9</v>
      </c>
      <c r="I8" s="78" t="n">
        <f aca="false">IF(I$7=0,0,IF(I$7=1,Assumptions!$C$20,IF(I$7=2,Assumptions!$C$21,Assumptions!$C$22)))</f>
        <v>0.9</v>
      </c>
      <c r="J8" s="78" t="n">
        <f aca="false">IF(J$7=0,0,IF(J$7=1,Assumptions!$C$20,IF(J$7=2,Assumptions!$C$21,Assumptions!$C$22)))</f>
        <v>0.9</v>
      </c>
      <c r="K8" s="78" t="n">
        <f aca="false">IF(K$7=0,0,IF(K$7=1,Assumptions!$C$20,IF(K$7=2,Assumptions!$C$21,Assumptions!$C$22)))</f>
        <v>0.9</v>
      </c>
      <c r="L8" s="78" t="n">
        <f aca="false">IF(L$7=0,0,IF(L$7=1,Assumptions!$C$20,IF(L$7=2,Assumptions!$C$21,Assumptions!$C$22)))</f>
        <v>0.9</v>
      </c>
      <c r="M8" s="78" t="n">
        <f aca="false">IF(M$7=0,0,IF(M$7=1,Assumptions!$C$20,IF(M$7=2,Assumptions!$C$21,Assumptions!$C$22)))</f>
        <v>0.9</v>
      </c>
      <c r="N8" s="78" t="n">
        <f aca="false">IF(N$7=0,0,IF(N$7=1,Assumptions!$C$20,IF(N$7=2,Assumptions!$C$21,Assumptions!$C$22)))</f>
        <v>0.9</v>
      </c>
    </row>
    <row r="9" customFormat="false" ht="15" hidden="false" customHeight="false" outlineLevel="0" collapsed="false">
      <c r="B9" s="79" t="s">
        <v>297</v>
      </c>
      <c r="C9" s="75" t="s">
        <v>298</v>
      </c>
      <c r="D9" s="80" t="n">
        <f aca="false">IF(D$7=0,0,Assumptions!$C$16*(1+Assumptions!$C$18)^(D$7-1))</f>
        <v>0</v>
      </c>
      <c r="E9" s="80" t="n">
        <f aca="false">IF(E$7=0,0,Assumptions!$C$16*(1+Assumptions!$C$18)^(E$7-1))</f>
        <v>11500000</v>
      </c>
      <c r="F9" s="80" t="n">
        <f aca="false">IF(F$7=0,0,Assumptions!$C$16*(1+Assumptions!$C$18)^(F$7-1))</f>
        <v>11960000</v>
      </c>
      <c r="G9" s="80" t="n">
        <f aca="false">IF(G$7=0,0,Assumptions!$C$16*(1+Assumptions!$C$18)^(G$7-1))</f>
        <v>12438400</v>
      </c>
      <c r="H9" s="80" t="n">
        <f aca="false">IF(H$7=0,0,Assumptions!$C$16*(1+Assumptions!$C$18)^(H$7-1))</f>
        <v>12935936</v>
      </c>
      <c r="I9" s="80" t="n">
        <f aca="false">IF(I$7=0,0,Assumptions!$C$16*(1+Assumptions!$C$18)^(I$7-1))</f>
        <v>13453373.44</v>
      </c>
      <c r="J9" s="80" t="n">
        <f aca="false">IF(J$7=0,0,Assumptions!$C$16*(1+Assumptions!$C$18)^(J$7-1))</f>
        <v>13991508.3776</v>
      </c>
      <c r="K9" s="80" t="n">
        <f aca="false">IF(K$7=0,0,Assumptions!$C$16*(1+Assumptions!$C$18)^(K$7-1))</f>
        <v>14551168.712704</v>
      </c>
      <c r="L9" s="80" t="n">
        <f aca="false">IF(L$7=0,0,Assumptions!$C$16*(1+Assumptions!$C$18)^(L$7-1))</f>
        <v>15133215.4612122</v>
      </c>
      <c r="M9" s="80" t="n">
        <f aca="false">IF(M$7=0,0,Assumptions!$C$16*(1+Assumptions!$C$18)^(M$7-1))</f>
        <v>15738544.0796607</v>
      </c>
      <c r="N9" s="80" t="n">
        <f aca="false">IF(N$7=0,0,Assumptions!$C$16*(1+Assumptions!$C$18)^(N$7-1))</f>
        <v>16368085.8428471</v>
      </c>
    </row>
    <row r="10" customFormat="false" ht="15" hidden="false" customHeight="false" outlineLevel="0" collapsed="false">
      <c r="B10" s="79" t="s">
        <v>299</v>
      </c>
      <c r="C10" s="75" t="s">
        <v>298</v>
      </c>
      <c r="D10" s="80" t="n">
        <f aca="false">IF(D$7=0,0,Assumptions!$C$17*(1+Assumptions!$C$19)^(D$7-1))</f>
        <v>0</v>
      </c>
      <c r="E10" s="80" t="n">
        <f aca="false">IF(E$7=0,0,Assumptions!$C$17*(1+Assumptions!$C$19)^(E$7-1))</f>
        <v>8000000</v>
      </c>
      <c r="F10" s="80" t="n">
        <f aca="false">IF(F$7=0,0,Assumptions!$C$17*(1+Assumptions!$C$19)^(F$7-1))</f>
        <v>8320000</v>
      </c>
      <c r="G10" s="80" t="n">
        <f aca="false">IF(G$7=0,0,Assumptions!$C$17*(1+Assumptions!$C$19)^(G$7-1))</f>
        <v>8652800</v>
      </c>
      <c r="H10" s="80" t="n">
        <f aca="false">IF(H$7=0,0,Assumptions!$C$17*(1+Assumptions!$C$19)^(H$7-1))</f>
        <v>8998912</v>
      </c>
      <c r="I10" s="80" t="n">
        <f aca="false">IF(I$7=0,0,Assumptions!$C$17*(1+Assumptions!$C$19)^(I$7-1))</f>
        <v>9358868.48</v>
      </c>
      <c r="J10" s="80" t="n">
        <f aca="false">IF(J$7=0,0,Assumptions!$C$17*(1+Assumptions!$C$19)^(J$7-1))</f>
        <v>9733223.2192</v>
      </c>
      <c r="K10" s="80" t="n">
        <f aca="false">IF(K$7=0,0,Assumptions!$C$17*(1+Assumptions!$C$19)^(K$7-1))</f>
        <v>10122552.147968</v>
      </c>
      <c r="L10" s="80" t="n">
        <f aca="false">IF(L$7=0,0,Assumptions!$C$17*(1+Assumptions!$C$19)^(L$7-1))</f>
        <v>10527454.2338867</v>
      </c>
      <c r="M10" s="80" t="n">
        <f aca="false">IF(M$7=0,0,Assumptions!$C$17*(1+Assumptions!$C$19)^(M$7-1))</f>
        <v>10948552.4032422</v>
      </c>
      <c r="N10" s="80" t="n">
        <f aca="false">IF(N$7=0,0,Assumptions!$C$17*(1+Assumptions!$C$19)^(N$7-1))</f>
        <v>11386494.4993719</v>
      </c>
    </row>
    <row r="11" customFormat="false" ht="15" hidden="false" customHeight="false" outlineLevel="0" collapsed="false">
      <c r="B11" s="77" t="s">
        <v>300</v>
      </c>
      <c r="C11" s="75" t="s">
        <v>301</v>
      </c>
      <c r="D11" s="81" t="n">
        <f aca="false">(Assumptions!$C$9+Assumptions!$C$10)*12*D8</f>
        <v>0</v>
      </c>
      <c r="E11" s="81" t="n">
        <f aca="false">(Assumptions!$C$9+Assumptions!$C$10)*12*E8</f>
        <v>56.16</v>
      </c>
      <c r="F11" s="81" t="n">
        <f aca="false">(Assumptions!$C$9+Assumptions!$C$10)*12*F8</f>
        <v>61.92</v>
      </c>
      <c r="G11" s="81" t="n">
        <f aca="false">(Assumptions!$C$9+Assumptions!$C$10)*12*G8</f>
        <v>64.8</v>
      </c>
      <c r="H11" s="81" t="n">
        <f aca="false">(Assumptions!$C$9+Assumptions!$C$10)*12*H8</f>
        <v>64.8</v>
      </c>
      <c r="I11" s="81" t="n">
        <f aca="false">(Assumptions!$C$9+Assumptions!$C$10)*12*I8</f>
        <v>64.8</v>
      </c>
      <c r="J11" s="81" t="n">
        <f aca="false">(Assumptions!$C$9+Assumptions!$C$10)*12*J8</f>
        <v>64.8</v>
      </c>
      <c r="K11" s="81" t="n">
        <f aca="false">(Assumptions!$C$9+Assumptions!$C$10)*12*K8</f>
        <v>64.8</v>
      </c>
      <c r="L11" s="81" t="n">
        <f aca="false">(Assumptions!$C$9+Assumptions!$C$10)*12*L8</f>
        <v>64.8</v>
      </c>
      <c r="M11" s="81" t="n">
        <f aca="false">(Assumptions!$C$9+Assumptions!$C$10)*12*M8</f>
        <v>64.8</v>
      </c>
      <c r="N11" s="81" t="n">
        <f aca="false">(Assumptions!$C$9+Assumptions!$C$10)*12*N8</f>
        <v>64.8</v>
      </c>
    </row>
    <row r="12" customFormat="false" ht="15" hidden="false" customHeight="false" outlineLevel="0" collapsed="false">
      <c r="B12" s="77" t="s">
        <v>302</v>
      </c>
      <c r="C12" s="75"/>
      <c r="D12" s="82" t="n">
        <f aca="false">Assumptions!$C$9*12*D8*D9</f>
        <v>0</v>
      </c>
      <c r="E12" s="82" t="n">
        <f aca="false">Assumptions!$C$9*12*E8*E9</f>
        <v>430560000</v>
      </c>
      <c r="F12" s="82" t="n">
        <f aca="false">Assumptions!$C$9*12*F8*F9</f>
        <v>493708800</v>
      </c>
      <c r="G12" s="82" t="n">
        <f aca="false">Assumptions!$C$9*12*G8*G9</f>
        <v>537338880</v>
      </c>
      <c r="H12" s="82" t="n">
        <f aca="false">Assumptions!$C$9*12*H8*H9</f>
        <v>558832435.2</v>
      </c>
      <c r="I12" s="82" t="n">
        <f aca="false">Assumptions!$C$9*12*I8*I9</f>
        <v>581185732.608</v>
      </c>
      <c r="J12" s="82" t="n">
        <f aca="false">Assumptions!$C$9*12*J8*J9</f>
        <v>604433161.91232</v>
      </c>
      <c r="K12" s="82" t="n">
        <f aca="false">Assumptions!$C$9*12*K8*K9</f>
        <v>628610488.388813</v>
      </c>
      <c r="L12" s="82" t="n">
        <f aca="false">Assumptions!$C$9*12*L8*L9</f>
        <v>653754907.924366</v>
      </c>
      <c r="M12" s="82" t="n">
        <f aca="false">Assumptions!$C$9*12*M8*M9</f>
        <v>679905104.24134</v>
      </c>
      <c r="N12" s="82" t="n">
        <f aca="false">Assumptions!$C$9*12*N8*N9</f>
        <v>707101308.410994</v>
      </c>
    </row>
    <row r="13" customFormat="false" ht="15" hidden="false" customHeight="false" outlineLevel="0" collapsed="false">
      <c r="B13" s="77" t="s">
        <v>303</v>
      </c>
      <c r="C13" s="75"/>
      <c r="D13" s="82" t="n">
        <f aca="false">Assumptions!$C$10*12*D8*D10</f>
        <v>0</v>
      </c>
      <c r="E13" s="82" t="n">
        <f aca="false">Assumptions!$C$10*12*E8*E10</f>
        <v>149760000</v>
      </c>
      <c r="F13" s="82" t="n">
        <f aca="false">Assumptions!$C$10*12*F8*F10</f>
        <v>171724800</v>
      </c>
      <c r="G13" s="82" t="n">
        <f aca="false">Assumptions!$C$10*12*G8*G10</f>
        <v>186900480</v>
      </c>
      <c r="H13" s="82" t="n">
        <f aca="false">Assumptions!$C$10*12*H8*H10</f>
        <v>194376499.2</v>
      </c>
      <c r="I13" s="82" t="n">
        <f aca="false">Assumptions!$C$10*12*I8*I10</f>
        <v>202151559.168</v>
      </c>
      <c r="J13" s="82" t="n">
        <f aca="false">Assumptions!$C$10*12*J8*J10</f>
        <v>210237621.53472</v>
      </c>
      <c r="K13" s="82" t="n">
        <f aca="false">Assumptions!$C$10*12*K8*K10</f>
        <v>218647126.396109</v>
      </c>
      <c r="L13" s="82" t="n">
        <f aca="false">Assumptions!$C$10*12*L8*L10</f>
        <v>227393011.451953</v>
      </c>
      <c r="M13" s="82" t="n">
        <f aca="false">Assumptions!$C$10*12*M8*M10</f>
        <v>236488731.910031</v>
      </c>
      <c r="N13" s="82" t="n">
        <f aca="false">Assumptions!$C$10*12*N8*N10</f>
        <v>245948281.186433</v>
      </c>
    </row>
    <row r="14" customFormat="false" ht="15" hidden="false" customHeight="false" outlineLevel="0" collapsed="false">
      <c r="B14" s="77" t="s">
        <v>304</v>
      </c>
      <c r="C14" s="75"/>
      <c r="D14" s="82" t="n">
        <f aca="false">(D12+D13)*Assumptions!$C$23</f>
        <v>0</v>
      </c>
      <c r="E14" s="82" t="n">
        <f aca="false">(E12+E13)*Assumptions!$C$23</f>
        <v>11606400</v>
      </c>
      <c r="F14" s="82" t="n">
        <f aca="false">(F12+F13)*Assumptions!$C$23</f>
        <v>13308672</v>
      </c>
      <c r="G14" s="82" t="n">
        <f aca="false">(G12+G13)*Assumptions!$C$23</f>
        <v>14484787.2</v>
      </c>
      <c r="H14" s="82" t="n">
        <f aca="false">(H12+H13)*Assumptions!$C$23</f>
        <v>15064178.688</v>
      </c>
      <c r="I14" s="82" t="n">
        <f aca="false">(I12+I13)*Assumptions!$C$23</f>
        <v>15666745.83552</v>
      </c>
      <c r="J14" s="82" t="n">
        <f aca="false">(J12+J13)*Assumptions!$C$23</f>
        <v>16293415.6689408</v>
      </c>
      <c r="K14" s="82" t="n">
        <f aca="false">(K12+K13)*Assumptions!$C$23</f>
        <v>16945152.2956984</v>
      </c>
      <c r="L14" s="82" t="n">
        <f aca="false">(L12+L13)*Assumptions!$C$23</f>
        <v>17622958.3875264</v>
      </c>
      <c r="M14" s="82" t="n">
        <f aca="false">(M12+M13)*Assumptions!$C$23</f>
        <v>18327876.7230274</v>
      </c>
      <c r="N14" s="82" t="n">
        <f aca="false">(N12+N13)*Assumptions!$C$23</f>
        <v>19060991.7919485</v>
      </c>
    </row>
    <row r="15" customFormat="false" ht="15" hidden="false" customHeight="false" outlineLevel="0" collapsed="false">
      <c r="B15" s="83" t="s">
        <v>305</v>
      </c>
      <c r="C15" s="75"/>
      <c r="D15" s="84" t="n">
        <f aca="false">SUM(D12:D14)</f>
        <v>0</v>
      </c>
      <c r="E15" s="84" t="n">
        <f aca="false">SUM(E12:E14)</f>
        <v>591926400</v>
      </c>
      <c r="F15" s="84" t="n">
        <f aca="false">SUM(F12:F14)</f>
        <v>678742272</v>
      </c>
      <c r="G15" s="84" t="n">
        <f aca="false">SUM(G12:G14)</f>
        <v>738724147.2</v>
      </c>
      <c r="H15" s="84" t="n">
        <f aca="false">SUM(H12:H14)</f>
        <v>768273113.088</v>
      </c>
      <c r="I15" s="84" t="n">
        <f aca="false">SUM(I12:I14)</f>
        <v>799004037.61152</v>
      </c>
      <c r="J15" s="84" t="n">
        <f aca="false">SUM(J12:J14)</f>
        <v>830964199.115981</v>
      </c>
      <c r="K15" s="84" t="n">
        <f aca="false">SUM(K12:K14)</f>
        <v>864202767.08062</v>
      </c>
      <c r="L15" s="84" t="n">
        <f aca="false">SUM(L12:L14)</f>
        <v>898770877.763845</v>
      </c>
      <c r="M15" s="84" t="n">
        <f aca="false">SUM(M12:M14)</f>
        <v>934721712.874399</v>
      </c>
      <c r="N15" s="84" t="n">
        <f aca="false">SUM(N12:N14)</f>
        <v>972110581.389375</v>
      </c>
    </row>
    <row r="16" customFormat="false" ht="15" hidden="false" customHeight="false" outlineLevel="0" collapsed="false">
      <c r="B16" s="77" t="s">
        <v>306</v>
      </c>
      <c r="C16" s="75"/>
      <c r="D16" s="82" t="n">
        <f aca="false">-D15*Assumptions!$C$28</f>
        <v>-0</v>
      </c>
      <c r="E16" s="82" t="n">
        <f aca="false">-E15*Assumptions!$C$28</f>
        <v>-59192640</v>
      </c>
      <c r="F16" s="82" t="n">
        <f aca="false">-F15*Assumptions!$C$28</f>
        <v>-67874227.2</v>
      </c>
      <c r="G16" s="82" t="n">
        <f aca="false">-G15*Assumptions!$C$28</f>
        <v>-73872414.72</v>
      </c>
      <c r="H16" s="82" t="n">
        <f aca="false">-H15*Assumptions!$C$28</f>
        <v>-76827311.3088</v>
      </c>
      <c r="I16" s="82" t="n">
        <f aca="false">-I15*Assumptions!$C$28</f>
        <v>-79900403.761152</v>
      </c>
      <c r="J16" s="82" t="n">
        <f aca="false">-J15*Assumptions!$C$28</f>
        <v>-83096419.9115981</v>
      </c>
      <c r="K16" s="82" t="n">
        <f aca="false">-K15*Assumptions!$C$28</f>
        <v>-86420276.708062</v>
      </c>
      <c r="L16" s="82" t="n">
        <f aca="false">-L15*Assumptions!$C$28</f>
        <v>-89877087.7763845</v>
      </c>
      <c r="M16" s="82" t="n">
        <f aca="false">-M15*Assumptions!$C$28</f>
        <v>-93472171.2874399</v>
      </c>
      <c r="N16" s="82" t="n">
        <f aca="false">-N15*Assumptions!$C$28</f>
        <v>-97211058.1389375</v>
      </c>
    </row>
    <row r="17" customFormat="false" ht="15" hidden="false" customHeight="false" outlineLevel="0" collapsed="false">
      <c r="B17" s="77" t="s">
        <v>114</v>
      </c>
      <c r="C17" s="75"/>
      <c r="D17" s="82" t="n">
        <f aca="false">-D15*Assumptions!$C$29</f>
        <v>-0</v>
      </c>
      <c r="E17" s="82" t="n">
        <f aca="false">-E15*Assumptions!$C$29</f>
        <v>-23677056</v>
      </c>
      <c r="F17" s="82" t="n">
        <f aca="false">-F15*Assumptions!$C$29</f>
        <v>-27149690.88</v>
      </c>
      <c r="G17" s="82" t="n">
        <f aca="false">-G15*Assumptions!$C$29</f>
        <v>-29548965.888</v>
      </c>
      <c r="H17" s="82" t="n">
        <f aca="false">-H15*Assumptions!$C$29</f>
        <v>-30730924.52352</v>
      </c>
      <c r="I17" s="82" t="n">
        <f aca="false">-I15*Assumptions!$C$29</f>
        <v>-31960161.5044608</v>
      </c>
      <c r="J17" s="82" t="n">
        <f aca="false">-J15*Assumptions!$C$29</f>
        <v>-33238567.9646392</v>
      </c>
      <c r="K17" s="82" t="n">
        <f aca="false">-K15*Assumptions!$C$29</f>
        <v>-34568110.6832248</v>
      </c>
      <c r="L17" s="82" t="n">
        <f aca="false">-L15*Assumptions!$C$29</f>
        <v>-35950835.1105538</v>
      </c>
      <c r="M17" s="82" t="n">
        <f aca="false">-M15*Assumptions!$C$29</f>
        <v>-37388868.514976</v>
      </c>
      <c r="N17" s="82" t="n">
        <f aca="false">-N15*Assumptions!$C$29</f>
        <v>-38884423.255575</v>
      </c>
    </row>
    <row r="18" customFormat="false" ht="15" hidden="false" customHeight="false" outlineLevel="0" collapsed="false">
      <c r="B18" s="77" t="s">
        <v>118</v>
      </c>
      <c r="C18" s="75"/>
      <c r="D18" s="82" t="n">
        <f aca="false">-D15*Assumptions!$C$31</f>
        <v>-0</v>
      </c>
      <c r="E18" s="82" t="n">
        <f aca="false">-E15*Assumptions!$C$31</f>
        <v>-47354112</v>
      </c>
      <c r="F18" s="82" t="n">
        <f aca="false">-F15*Assumptions!$C$31</f>
        <v>-54299381.76</v>
      </c>
      <c r="G18" s="82" t="n">
        <f aca="false">-G15*Assumptions!$C$31</f>
        <v>-59097931.776</v>
      </c>
      <c r="H18" s="82" t="n">
        <f aca="false">-H15*Assumptions!$C$31</f>
        <v>-61461849.04704</v>
      </c>
      <c r="I18" s="82" t="n">
        <f aca="false">-I15*Assumptions!$C$31</f>
        <v>-63920323.0089216</v>
      </c>
      <c r="J18" s="82" t="n">
        <f aca="false">-J15*Assumptions!$C$31</f>
        <v>-66477135.9292785</v>
      </c>
      <c r="K18" s="82" t="n">
        <f aca="false">-K15*Assumptions!$C$31</f>
        <v>-69136221.3664496</v>
      </c>
      <c r="L18" s="82" t="n">
        <f aca="false">-L15*Assumptions!$C$31</f>
        <v>-71901670.2211076</v>
      </c>
      <c r="M18" s="82" t="n">
        <f aca="false">-M15*Assumptions!$C$31</f>
        <v>-74777737.0299519</v>
      </c>
      <c r="N18" s="82" t="n">
        <f aca="false">-N15*Assumptions!$C$31</f>
        <v>-77768846.51115</v>
      </c>
    </row>
    <row r="19" customFormat="false" ht="15" hidden="false" customHeight="false" outlineLevel="0" collapsed="false">
      <c r="B19" s="77" t="s">
        <v>116</v>
      </c>
      <c r="C19" s="75"/>
      <c r="D19" s="82" t="n">
        <f aca="false">-D15*Assumptions!$C$30</f>
        <v>-0</v>
      </c>
      <c r="E19" s="82" t="n">
        <f aca="false">-E15*Assumptions!$C$30</f>
        <v>-17757792</v>
      </c>
      <c r="F19" s="82" t="n">
        <f aca="false">-F15*Assumptions!$C$30</f>
        <v>-20362268.16</v>
      </c>
      <c r="G19" s="82" t="n">
        <f aca="false">-G15*Assumptions!$C$30</f>
        <v>-22161724.416</v>
      </c>
      <c r="H19" s="82" t="n">
        <f aca="false">-H15*Assumptions!$C$30</f>
        <v>-23048193.39264</v>
      </c>
      <c r="I19" s="82" t="n">
        <f aca="false">-I15*Assumptions!$C$30</f>
        <v>-23970121.1283456</v>
      </c>
      <c r="J19" s="82" t="n">
        <f aca="false">-J15*Assumptions!$C$30</f>
        <v>-24928925.9734794</v>
      </c>
      <c r="K19" s="82" t="n">
        <f aca="false">-K15*Assumptions!$C$30</f>
        <v>-25926083.0124186</v>
      </c>
      <c r="L19" s="82" t="n">
        <f aca="false">-L15*Assumptions!$C$30</f>
        <v>-26963126.3329154</v>
      </c>
      <c r="M19" s="82" t="n">
        <f aca="false">-M15*Assumptions!$C$30</f>
        <v>-28041651.386232</v>
      </c>
      <c r="N19" s="82" t="n">
        <f aca="false">-N15*Assumptions!$C$30</f>
        <v>-29163317.4416812</v>
      </c>
    </row>
    <row r="20" customFormat="false" ht="15" hidden="false" customHeight="false" outlineLevel="0" collapsed="false">
      <c r="B20" s="77" t="s">
        <v>123</v>
      </c>
      <c r="C20" s="75"/>
      <c r="D20" s="82" t="n">
        <f aca="false">-D11*Assumptions!$C$34*(1+Assumptions!$C$45)^MAX(0,D$7-1)</f>
        <v>-0</v>
      </c>
      <c r="E20" s="82" t="n">
        <f aca="false">-E11*Assumptions!$C$34*(1+Assumptions!$C$45)^MAX(0,E$7-1)</f>
        <v>-19656000</v>
      </c>
      <c r="F20" s="82" t="n">
        <f aca="false">-F11*Assumptions!$C$34*(1+Assumptions!$C$45)^MAX(0,F$7-1)</f>
        <v>-22647240</v>
      </c>
      <c r="G20" s="82" t="n">
        <f aca="false">-G11*Assumptions!$C$34*(1+Assumptions!$C$45)^MAX(0,G$7-1)</f>
        <v>-24767127</v>
      </c>
      <c r="H20" s="82" t="n">
        <f aca="false">-H11*Assumptions!$C$34*(1+Assumptions!$C$45)^MAX(0,H$7-1)</f>
        <v>-25881647.715</v>
      </c>
      <c r="I20" s="82" t="n">
        <f aca="false">-I11*Assumptions!$C$34*(1+Assumptions!$C$45)^MAX(0,I$7-1)</f>
        <v>-27046321.862175</v>
      </c>
      <c r="J20" s="82" t="n">
        <f aca="false">-J11*Assumptions!$C$34*(1+Assumptions!$C$45)^MAX(0,J$7-1)</f>
        <v>-28263406.3459729</v>
      </c>
      <c r="K20" s="82" t="n">
        <f aca="false">-K11*Assumptions!$C$34*(1+Assumptions!$C$45)^MAX(0,K$7-1)</f>
        <v>-29535259.6315416</v>
      </c>
      <c r="L20" s="82" t="n">
        <f aca="false">-L11*Assumptions!$C$34*(1+Assumptions!$C$45)^MAX(0,L$7-1)</f>
        <v>-30864346.314961</v>
      </c>
      <c r="M20" s="82" t="n">
        <f aca="false">-M11*Assumptions!$C$34*(1+Assumptions!$C$45)^MAX(0,M$7-1)</f>
        <v>-32253241.8991343</v>
      </c>
      <c r="N20" s="82" t="n">
        <f aca="false">-N11*Assumptions!$C$34*(1+Assumptions!$C$45)^MAX(0,N$7-1)</f>
        <v>-33704637.7845953</v>
      </c>
    </row>
    <row r="21" customFormat="false" ht="15" hidden="false" customHeight="false" outlineLevel="0" collapsed="false">
      <c r="B21" s="77" t="s">
        <v>307</v>
      </c>
      <c r="C21" s="75"/>
      <c r="D21" s="82" t="n">
        <f aca="false">-D11*Assumptions!$C$35*(1+Assumptions!$C$45)^MAX(0,D$7-1)</f>
        <v>-0</v>
      </c>
      <c r="E21" s="82" t="n">
        <f aca="false">-E11*Assumptions!$C$35*(1+Assumptions!$C$45)^MAX(0,E$7-1)</f>
        <v>-6739200</v>
      </c>
      <c r="F21" s="82" t="n">
        <f aca="false">-F11*Assumptions!$C$35*(1+Assumptions!$C$45)^MAX(0,F$7-1)</f>
        <v>-7764768</v>
      </c>
      <c r="G21" s="82" t="n">
        <f aca="false">-G11*Assumptions!$C$35*(1+Assumptions!$C$45)^MAX(0,G$7-1)</f>
        <v>-8491586.4</v>
      </c>
      <c r="H21" s="82" t="n">
        <f aca="false">-H11*Assumptions!$C$35*(1+Assumptions!$C$45)^MAX(0,H$7-1)</f>
        <v>-8873707.788</v>
      </c>
      <c r="I21" s="82" t="n">
        <f aca="false">-I11*Assumptions!$C$35*(1+Assumptions!$C$45)^MAX(0,I$7-1)</f>
        <v>-9273024.63846</v>
      </c>
      <c r="J21" s="82" t="n">
        <f aca="false">-J11*Assumptions!$C$35*(1+Assumptions!$C$45)^MAX(0,J$7-1)</f>
        <v>-9690310.7471907</v>
      </c>
      <c r="K21" s="82" t="n">
        <f aca="false">-K11*Assumptions!$C$35*(1+Assumptions!$C$45)^MAX(0,K$7-1)</f>
        <v>-10126374.7308143</v>
      </c>
      <c r="L21" s="82" t="n">
        <f aca="false">-L11*Assumptions!$C$35*(1+Assumptions!$C$45)^MAX(0,L$7-1)</f>
        <v>-10582061.5937009</v>
      </c>
      <c r="M21" s="82" t="n">
        <f aca="false">-M11*Assumptions!$C$35*(1+Assumptions!$C$45)^MAX(0,M$7-1)</f>
        <v>-11058254.3654175</v>
      </c>
      <c r="N21" s="82" t="n">
        <f aca="false">-N11*Assumptions!$C$35*(1+Assumptions!$C$45)^MAX(0,N$7-1)</f>
        <v>-11555875.8118612</v>
      </c>
    </row>
    <row r="22" customFormat="false" ht="15" hidden="false" customHeight="false" outlineLevel="0" collapsed="false">
      <c r="B22" s="77" t="s">
        <v>128</v>
      </c>
      <c r="C22" s="75"/>
      <c r="D22" s="82" t="n">
        <f aca="false">-Assumptions!$C$12*12*Assumptions!$C$36*(1+Assumptions!$C$45)^MAX(0,D$7-1)*(D$7&gt;0)</f>
        <v>-0</v>
      </c>
      <c r="E22" s="82" t="n">
        <f aca="false">-Assumptions!$C$12*12*Assumptions!$C$36*(1+Assumptions!$C$45)^MAX(0,E$7-1)*(E$7&gt;0)</f>
        <v>-10800000</v>
      </c>
      <c r="F22" s="82" t="n">
        <f aca="false">-Assumptions!$C$12*12*Assumptions!$C$36*(1+Assumptions!$C$45)^MAX(0,F$7-1)*(F$7&gt;0)</f>
        <v>-11286000</v>
      </c>
      <c r="G22" s="82" t="n">
        <f aca="false">-Assumptions!$C$12*12*Assumptions!$C$36*(1+Assumptions!$C$45)^MAX(0,G$7-1)*(G$7&gt;0)</f>
        <v>-11793870</v>
      </c>
      <c r="H22" s="82" t="n">
        <f aca="false">-Assumptions!$C$12*12*Assumptions!$C$36*(1+Assumptions!$C$45)^MAX(0,H$7-1)*(H$7&gt;0)</f>
        <v>-12324594.15</v>
      </c>
      <c r="I22" s="82" t="n">
        <f aca="false">-Assumptions!$C$12*12*Assumptions!$C$36*(1+Assumptions!$C$45)^MAX(0,I$7-1)*(I$7&gt;0)</f>
        <v>-12879200.88675</v>
      </c>
      <c r="J22" s="82" t="n">
        <f aca="false">-Assumptions!$C$12*12*Assumptions!$C$36*(1+Assumptions!$C$45)^MAX(0,J$7-1)*(J$7&gt;0)</f>
        <v>-13458764.9266537</v>
      </c>
      <c r="K22" s="82" t="n">
        <f aca="false">-Assumptions!$C$12*12*Assumptions!$C$36*(1+Assumptions!$C$45)^MAX(0,K$7-1)*(K$7&gt;0)</f>
        <v>-14064409.3483532</v>
      </c>
      <c r="L22" s="82" t="n">
        <f aca="false">-Assumptions!$C$12*12*Assumptions!$C$36*(1+Assumptions!$C$45)^MAX(0,L$7-1)*(L$7&gt;0)</f>
        <v>-14697307.7690291</v>
      </c>
      <c r="M22" s="82" t="n">
        <f aca="false">-Assumptions!$C$12*12*Assumptions!$C$36*(1+Assumptions!$C$45)^MAX(0,M$7-1)*(M$7&gt;0)</f>
        <v>-15358686.6186354</v>
      </c>
      <c r="N22" s="82" t="n">
        <f aca="false">-Assumptions!$C$12*12*Assumptions!$C$36*(1+Assumptions!$C$45)^MAX(0,N$7-1)*(N$7&gt;0)</f>
        <v>-16049827.5164739</v>
      </c>
    </row>
    <row r="23" customFormat="false" ht="15" hidden="false" customHeight="false" outlineLevel="0" collapsed="false">
      <c r="B23" s="77" t="s">
        <v>308</v>
      </c>
      <c r="C23" s="75"/>
      <c r="D23" s="82" t="n">
        <f aca="false">-12*Assumptions!$C$38*(1+Assumptions!$C$45)^MAX(0,D$7-1)*(D$7&gt;0)</f>
        <v>-0</v>
      </c>
      <c r="E23" s="82" t="n">
        <f aca="false">-12*Assumptions!$C$38*(1+Assumptions!$C$45)^MAX(0,E$7-1)*(E$7&gt;0)</f>
        <v>-72000000</v>
      </c>
      <c r="F23" s="82" t="n">
        <f aca="false">-12*Assumptions!$C$38*(1+Assumptions!$C$45)^MAX(0,F$7-1)*(F$7&gt;0)</f>
        <v>-75240000</v>
      </c>
      <c r="G23" s="82" t="n">
        <f aca="false">-12*Assumptions!$C$38*(1+Assumptions!$C$45)^MAX(0,G$7-1)*(G$7&gt;0)</f>
        <v>-78625800</v>
      </c>
      <c r="H23" s="82" t="n">
        <f aca="false">-12*Assumptions!$C$38*(1+Assumptions!$C$45)^MAX(0,H$7-1)*(H$7&gt;0)</f>
        <v>-82163961</v>
      </c>
      <c r="I23" s="82" t="n">
        <f aca="false">-12*Assumptions!$C$38*(1+Assumptions!$C$45)^MAX(0,I$7-1)*(I$7&gt;0)</f>
        <v>-85861339.245</v>
      </c>
      <c r="J23" s="82" t="n">
        <f aca="false">-12*Assumptions!$C$38*(1+Assumptions!$C$45)^MAX(0,J$7-1)*(J$7&gt;0)</f>
        <v>-89725099.511025</v>
      </c>
      <c r="K23" s="82" t="n">
        <f aca="false">-12*Assumptions!$C$38*(1+Assumptions!$C$45)^MAX(0,K$7-1)*(K$7&gt;0)</f>
        <v>-93762728.9890211</v>
      </c>
      <c r="L23" s="82" t="n">
        <f aca="false">-12*Assumptions!$C$38*(1+Assumptions!$C$45)^MAX(0,L$7-1)*(L$7&gt;0)</f>
        <v>-97982051.793527</v>
      </c>
      <c r="M23" s="82" t="n">
        <f aca="false">-12*Assumptions!$C$38*(1+Assumptions!$C$45)^MAX(0,M$7-1)*(M$7&gt;0)</f>
        <v>-102391244.124236</v>
      </c>
      <c r="N23" s="82" t="n">
        <f aca="false">-12*Assumptions!$C$38*(1+Assumptions!$C$45)^MAX(0,N$7-1)*(N$7&gt;0)</f>
        <v>-106998850.109826</v>
      </c>
    </row>
    <row r="24" customFormat="false" ht="15" hidden="false" customHeight="false" outlineLevel="0" collapsed="false">
      <c r="B24" s="77" t="s">
        <v>134</v>
      </c>
      <c r="C24" s="75"/>
      <c r="D24" s="82" t="n">
        <f aca="false">-12*Assumptions!$C$39*(1+Assumptions!$C$45)^MAX(0,D$7-1)*(D$7&gt;0)</f>
        <v>-0</v>
      </c>
      <c r="E24" s="82" t="n">
        <f aca="false">-12*Assumptions!$C$39*(1+Assumptions!$C$45)^MAX(0,E$7-1)*(E$7&gt;0)</f>
        <v>-38400000</v>
      </c>
      <c r="F24" s="82" t="n">
        <f aca="false">-12*Assumptions!$C$39*(1+Assumptions!$C$45)^MAX(0,F$7-1)*(F$7&gt;0)</f>
        <v>-40128000</v>
      </c>
      <c r="G24" s="82" t="n">
        <f aca="false">-12*Assumptions!$C$39*(1+Assumptions!$C$45)^MAX(0,G$7-1)*(G$7&gt;0)</f>
        <v>-41933760</v>
      </c>
      <c r="H24" s="82" t="n">
        <f aca="false">-12*Assumptions!$C$39*(1+Assumptions!$C$45)^MAX(0,H$7-1)*(H$7&gt;0)</f>
        <v>-43820779.2</v>
      </c>
      <c r="I24" s="82" t="n">
        <f aca="false">-12*Assumptions!$C$39*(1+Assumptions!$C$45)^MAX(0,I$7-1)*(I$7&gt;0)</f>
        <v>-45792714.264</v>
      </c>
      <c r="J24" s="82" t="n">
        <f aca="false">-12*Assumptions!$C$39*(1+Assumptions!$C$45)^MAX(0,J$7-1)*(J$7&gt;0)</f>
        <v>-47853386.40588</v>
      </c>
      <c r="K24" s="82" t="n">
        <f aca="false">-12*Assumptions!$C$39*(1+Assumptions!$C$45)^MAX(0,K$7-1)*(K$7&gt;0)</f>
        <v>-50006788.7941446</v>
      </c>
      <c r="L24" s="82" t="n">
        <f aca="false">-12*Assumptions!$C$39*(1+Assumptions!$C$45)^MAX(0,L$7-1)*(L$7&gt;0)</f>
        <v>-52257094.2898811</v>
      </c>
      <c r="M24" s="82" t="n">
        <f aca="false">-12*Assumptions!$C$39*(1+Assumptions!$C$45)^MAX(0,M$7-1)*(M$7&gt;0)</f>
        <v>-54608663.5329257</v>
      </c>
      <c r="N24" s="82" t="n">
        <f aca="false">-12*Assumptions!$C$39*(1+Assumptions!$C$45)^MAX(0,N$7-1)*(N$7&gt;0)</f>
        <v>-57066053.3919074</v>
      </c>
    </row>
    <row r="25" customFormat="false" ht="15" hidden="false" customHeight="false" outlineLevel="0" collapsed="false">
      <c r="B25" s="77" t="s">
        <v>309</v>
      </c>
      <c r="C25" s="75"/>
      <c r="D25" s="82" t="n">
        <f aca="false">-12*(Assumptions!$C$40+Assumptions!$C$41)*(1+Assumptions!$C$45)^MAX(0,D$7-1)*(D$7&gt;0)</f>
        <v>-0</v>
      </c>
      <c r="E25" s="82" t="n">
        <f aca="false">-12*(Assumptions!$C$40+Assumptions!$C$41)*(1+Assumptions!$C$45)^MAX(0,E$7-1)*(E$7&gt;0)</f>
        <v>-28200000</v>
      </c>
      <c r="F25" s="82" t="n">
        <f aca="false">-12*(Assumptions!$C$40+Assumptions!$C$41)*(1+Assumptions!$C$45)^MAX(0,F$7-1)*(F$7&gt;0)</f>
        <v>-29469000</v>
      </c>
      <c r="G25" s="82" t="n">
        <f aca="false">-12*(Assumptions!$C$40+Assumptions!$C$41)*(1+Assumptions!$C$45)^MAX(0,G$7-1)*(G$7&gt;0)</f>
        <v>-30795105</v>
      </c>
      <c r="H25" s="82" t="n">
        <f aca="false">-12*(Assumptions!$C$40+Assumptions!$C$41)*(1+Assumptions!$C$45)^MAX(0,H$7-1)*(H$7&gt;0)</f>
        <v>-32180884.725</v>
      </c>
      <c r="I25" s="82" t="n">
        <f aca="false">-12*(Assumptions!$C$40+Assumptions!$C$41)*(1+Assumptions!$C$45)^MAX(0,I$7-1)*(I$7&gt;0)</f>
        <v>-33629024.537625</v>
      </c>
      <c r="J25" s="82" t="n">
        <f aca="false">-12*(Assumptions!$C$40+Assumptions!$C$41)*(1+Assumptions!$C$45)^MAX(0,J$7-1)*(J$7&gt;0)</f>
        <v>-35142330.6418181</v>
      </c>
      <c r="K25" s="82" t="n">
        <f aca="false">-12*(Assumptions!$C$40+Assumptions!$C$41)*(1+Assumptions!$C$45)^MAX(0,K$7-1)*(K$7&gt;0)</f>
        <v>-36723735.5206999</v>
      </c>
      <c r="L25" s="82" t="n">
        <f aca="false">-12*(Assumptions!$C$40+Assumptions!$C$41)*(1+Assumptions!$C$45)^MAX(0,L$7-1)*(L$7&gt;0)</f>
        <v>-38376303.6191314</v>
      </c>
      <c r="M25" s="82" t="n">
        <f aca="false">-12*(Assumptions!$C$40+Assumptions!$C$41)*(1+Assumptions!$C$45)^MAX(0,M$7-1)*(M$7&gt;0)</f>
        <v>-40103237.2819923</v>
      </c>
      <c r="N25" s="82" t="n">
        <f aca="false">-12*(Assumptions!$C$40+Assumptions!$C$41)*(1+Assumptions!$C$45)^MAX(0,N$7-1)*(N$7&gt;0)</f>
        <v>-41907882.959682</v>
      </c>
    </row>
    <row r="26" customFormat="false" ht="15" hidden="false" customHeight="false" outlineLevel="0" collapsed="false">
      <c r="B26" s="77" t="s">
        <v>310</v>
      </c>
      <c r="C26" s="75"/>
      <c r="D26" s="82" t="n">
        <f aca="false">-12*Assumptions!$C$42*(1+Assumptions!$C$45)^MAX(0,D$7-1)*(D$7&gt;0)</f>
        <v>-0</v>
      </c>
      <c r="E26" s="82" t="n">
        <f aca="false">-12*Assumptions!$C$42*(1+Assumptions!$C$45)^MAX(0,E$7-1)*(E$7&gt;0)</f>
        <v>-18000000</v>
      </c>
      <c r="F26" s="82" t="n">
        <f aca="false">-12*Assumptions!$C$42*(1+Assumptions!$C$45)^MAX(0,F$7-1)*(F$7&gt;0)</f>
        <v>-18810000</v>
      </c>
      <c r="G26" s="82" t="n">
        <f aca="false">-12*Assumptions!$C$42*(1+Assumptions!$C$45)^MAX(0,G$7-1)*(G$7&gt;0)</f>
        <v>-19656450</v>
      </c>
      <c r="H26" s="82" t="n">
        <f aca="false">-12*Assumptions!$C$42*(1+Assumptions!$C$45)^MAX(0,H$7-1)*(H$7&gt;0)</f>
        <v>-20540990.25</v>
      </c>
      <c r="I26" s="82" t="n">
        <f aca="false">-12*Assumptions!$C$42*(1+Assumptions!$C$45)^MAX(0,I$7-1)*(I$7&gt;0)</f>
        <v>-21465334.81125</v>
      </c>
      <c r="J26" s="82" t="n">
        <f aca="false">-12*Assumptions!$C$42*(1+Assumptions!$C$45)^MAX(0,J$7-1)*(J$7&gt;0)</f>
        <v>-22431274.8777562</v>
      </c>
      <c r="K26" s="82" t="n">
        <f aca="false">-12*Assumptions!$C$42*(1+Assumptions!$C$45)^MAX(0,K$7-1)*(K$7&gt;0)</f>
        <v>-23440682.2472553</v>
      </c>
      <c r="L26" s="82" t="n">
        <f aca="false">-12*Assumptions!$C$42*(1+Assumptions!$C$45)^MAX(0,L$7-1)*(L$7&gt;0)</f>
        <v>-24495512.9483818</v>
      </c>
      <c r="M26" s="82" t="n">
        <f aca="false">-12*Assumptions!$C$42*(1+Assumptions!$C$45)^MAX(0,M$7-1)*(M$7&gt;0)</f>
        <v>-25597811.0310589</v>
      </c>
      <c r="N26" s="82" t="n">
        <f aca="false">-12*Assumptions!$C$42*(1+Assumptions!$C$45)^MAX(0,N$7-1)*(N$7&gt;0)</f>
        <v>-26749712.5274566</v>
      </c>
    </row>
    <row r="27" customFormat="false" ht="15" hidden="false" customHeight="false" outlineLevel="0" collapsed="false">
      <c r="B27" s="77" t="s">
        <v>140</v>
      </c>
      <c r="C27" s="75"/>
      <c r="D27" s="82" t="n">
        <f aca="false">-12*Assumptions!$C$43*(1+Assumptions!$C$45)^MAX(0,D$7-1)*(D$7&gt;0)</f>
        <v>-0</v>
      </c>
      <c r="E27" s="82" t="n">
        <f aca="false">-12*Assumptions!$C$43*(1+Assumptions!$C$45)^MAX(0,E$7-1)*(E$7&gt;0)</f>
        <v>-14400000</v>
      </c>
      <c r="F27" s="82" t="n">
        <f aca="false">-12*Assumptions!$C$43*(1+Assumptions!$C$45)^MAX(0,F$7-1)*(F$7&gt;0)</f>
        <v>-15048000</v>
      </c>
      <c r="G27" s="82" t="n">
        <f aca="false">-12*Assumptions!$C$43*(1+Assumptions!$C$45)^MAX(0,G$7-1)*(G$7&gt;0)</f>
        <v>-15725160</v>
      </c>
      <c r="H27" s="82" t="n">
        <f aca="false">-12*Assumptions!$C$43*(1+Assumptions!$C$45)^MAX(0,H$7-1)*(H$7&gt;0)</f>
        <v>-16432792.2</v>
      </c>
      <c r="I27" s="82" t="n">
        <f aca="false">-12*Assumptions!$C$43*(1+Assumptions!$C$45)^MAX(0,I$7-1)*(I$7&gt;0)</f>
        <v>-17172267.849</v>
      </c>
      <c r="J27" s="82" t="n">
        <f aca="false">-12*Assumptions!$C$43*(1+Assumptions!$C$45)^MAX(0,J$7-1)*(J$7&gt;0)</f>
        <v>-17945019.902205</v>
      </c>
      <c r="K27" s="82" t="n">
        <f aca="false">-12*Assumptions!$C$43*(1+Assumptions!$C$45)^MAX(0,K$7-1)*(K$7&gt;0)</f>
        <v>-18752545.7978042</v>
      </c>
      <c r="L27" s="82" t="n">
        <f aca="false">-12*Assumptions!$C$43*(1+Assumptions!$C$45)^MAX(0,L$7-1)*(L$7&gt;0)</f>
        <v>-19596410.3587054</v>
      </c>
      <c r="M27" s="82" t="n">
        <f aca="false">-12*Assumptions!$C$43*(1+Assumptions!$C$45)^MAX(0,M$7-1)*(M$7&gt;0)</f>
        <v>-20478248.8248471</v>
      </c>
      <c r="N27" s="82" t="n">
        <f aca="false">-12*Assumptions!$C$43*(1+Assumptions!$C$45)^MAX(0,N$7-1)*(N$7&gt;0)</f>
        <v>-21399770.0219653</v>
      </c>
    </row>
    <row r="28" customFormat="false" ht="15" hidden="false" customHeight="false" outlineLevel="0" collapsed="false">
      <c r="B28" s="77" t="s">
        <v>311</v>
      </c>
      <c r="C28" s="75"/>
      <c r="D28" s="82" t="n">
        <f aca="false">-Assumptions!$C$44*(1+Assumptions!$C$45)^MAX(0,D$7-1)*(D$7&gt;0)</f>
        <v>-0</v>
      </c>
      <c r="E28" s="82" t="n">
        <f aca="false">-Assumptions!$C$44*(1+Assumptions!$C$45)^MAX(0,E$7-1)*(E$7&gt;0)</f>
        <v>-13000000</v>
      </c>
      <c r="F28" s="82" t="n">
        <f aca="false">-Assumptions!$C$44*(1+Assumptions!$C$45)^MAX(0,F$7-1)*(F$7&gt;0)</f>
        <v>-13585000</v>
      </c>
      <c r="G28" s="82" t="n">
        <f aca="false">-Assumptions!$C$44*(1+Assumptions!$C$45)^MAX(0,G$7-1)*(G$7&gt;0)</f>
        <v>-14196325</v>
      </c>
      <c r="H28" s="82" t="n">
        <f aca="false">-Assumptions!$C$44*(1+Assumptions!$C$45)^MAX(0,H$7-1)*(H$7&gt;0)</f>
        <v>-14835159.625</v>
      </c>
      <c r="I28" s="82" t="n">
        <f aca="false">-Assumptions!$C$44*(1+Assumptions!$C$45)^MAX(0,I$7-1)*(I$7&gt;0)</f>
        <v>-15502741.808125</v>
      </c>
      <c r="J28" s="82" t="n">
        <f aca="false">-Assumptions!$C$44*(1+Assumptions!$C$45)^MAX(0,J$7-1)*(J$7&gt;0)</f>
        <v>-16200365.1894906</v>
      </c>
      <c r="K28" s="82" t="n">
        <f aca="false">-Assumptions!$C$44*(1+Assumptions!$C$45)^MAX(0,K$7-1)*(K$7&gt;0)</f>
        <v>-16929381.6230177</v>
      </c>
      <c r="L28" s="82" t="n">
        <f aca="false">-Assumptions!$C$44*(1+Assumptions!$C$45)^MAX(0,L$7-1)*(L$7&gt;0)</f>
        <v>-17691203.7960535</v>
      </c>
      <c r="M28" s="82" t="n">
        <f aca="false">-Assumptions!$C$44*(1+Assumptions!$C$45)^MAX(0,M$7-1)*(M$7&gt;0)</f>
        <v>-18487307.9668759</v>
      </c>
      <c r="N28" s="82" t="n">
        <f aca="false">-Assumptions!$C$44*(1+Assumptions!$C$45)^MAX(0,N$7-1)*(N$7&gt;0)</f>
        <v>-19319236.8253853</v>
      </c>
    </row>
    <row r="29" customFormat="false" ht="15" hidden="false" customHeight="false" outlineLevel="0" collapsed="false">
      <c r="B29" s="83" t="s">
        <v>312</v>
      </c>
      <c r="C29" s="75"/>
      <c r="D29" s="84" t="n">
        <f aca="false">SUM(D16:D28)</f>
        <v>0</v>
      </c>
      <c r="E29" s="84" t="n">
        <f aca="false">SUM(E16:E28)</f>
        <v>-369176800</v>
      </c>
      <c r="F29" s="84" t="n">
        <f aca="false">SUM(F16:F28)</f>
        <v>-403663576</v>
      </c>
      <c r="G29" s="84" t="n">
        <f aca="false">SUM(G16:G28)</f>
        <v>-430666220.2</v>
      </c>
      <c r="H29" s="84" t="n">
        <f aca="false">SUM(H16:H28)</f>
        <v>-449122794.925</v>
      </c>
      <c r="I29" s="84" t="n">
        <f aca="false">SUM(I16:I28)</f>
        <v>-468372979.305265</v>
      </c>
      <c r="J29" s="84" t="n">
        <f aca="false">SUM(J16:J28)</f>
        <v>-488451008.326987</v>
      </c>
      <c r="K29" s="84" t="n">
        <f aca="false">SUM(K16:K28)</f>
        <v>-509392598.452807</v>
      </c>
      <c r="L29" s="84" t="n">
        <f aca="false">SUM(L16:L28)</f>
        <v>-531235011.924332</v>
      </c>
      <c r="M29" s="84" t="n">
        <f aca="false">SUM(M16:M28)</f>
        <v>-554017123.863723</v>
      </c>
      <c r="N29" s="84" t="n">
        <f aca="false">SUM(N16:N28)</f>
        <v>-577779492.296497</v>
      </c>
    </row>
    <row r="30" customFormat="false" ht="15" hidden="false" customHeight="false" outlineLevel="0" collapsed="false">
      <c r="B30" s="33" t="s">
        <v>313</v>
      </c>
      <c r="C30" s="75"/>
      <c r="D30" s="85" t="n">
        <f aca="false">D15+D29</f>
        <v>0</v>
      </c>
      <c r="E30" s="85" t="n">
        <f aca="false">E15+E29</f>
        <v>222749600</v>
      </c>
      <c r="F30" s="85" t="n">
        <f aca="false">F15+F29</f>
        <v>275078696</v>
      </c>
      <c r="G30" s="85" t="n">
        <f aca="false">G15+G29</f>
        <v>308057927</v>
      </c>
      <c r="H30" s="85" t="n">
        <f aca="false">H15+H29</f>
        <v>319150318.163</v>
      </c>
      <c r="I30" s="85" t="n">
        <f aca="false">I15+I29</f>
        <v>330631058.306255</v>
      </c>
      <c r="J30" s="85" t="n">
        <f aca="false">J15+J29</f>
        <v>342513190.788993</v>
      </c>
      <c r="K30" s="85" t="n">
        <f aca="false">K15+K29</f>
        <v>354810168.627813</v>
      </c>
      <c r="L30" s="85" t="n">
        <f aca="false">L15+L29</f>
        <v>367535865.839513</v>
      </c>
      <c r="M30" s="85" t="n">
        <f aca="false">M15+M29</f>
        <v>380704589.010676</v>
      </c>
      <c r="N30" s="85" t="n">
        <f aca="false">N15+N29</f>
        <v>394331089.092878</v>
      </c>
    </row>
    <row r="31" customFormat="false" ht="15" hidden="false" customHeight="false" outlineLevel="0" collapsed="false">
      <c r="B31" s="79" t="s">
        <v>314</v>
      </c>
      <c r="C31" s="75" t="s">
        <v>97</v>
      </c>
      <c r="D31" s="86" t="n">
        <f aca="false">IF(D15=0,0,D30/D15)</f>
        <v>0</v>
      </c>
      <c r="E31" s="86" t="n">
        <f aca="false">IF(E15=0,0,E30/E15)</f>
        <v>0.376313001075809</v>
      </c>
      <c r="F31" s="86" t="n">
        <f aca="false">IF(F15=0,0,F30/F15)</f>
        <v>0.405277094631878</v>
      </c>
      <c r="G31" s="86" t="n">
        <f aca="false">IF(G15=0,0,G30/G15)</f>
        <v>0.417013479480315</v>
      </c>
      <c r="H31" s="86" t="n">
        <f aca="false">IF(H15=0,0,H30/H15)</f>
        <v>0.415412582747047</v>
      </c>
      <c r="I31" s="86" t="n">
        <f aca="false">IF(I15=0,0,I30/I15)</f>
        <v>0.413803989394869</v>
      </c>
      <c r="J31" s="86" t="n">
        <f aca="false">IF(J15=0,0,J30/J15)</f>
        <v>0.412187662420806</v>
      </c>
      <c r="K31" s="86" t="n">
        <f aca="false">IF(K15=0,0,K30/K15)</f>
        <v>0.410563564643983</v>
      </c>
      <c r="L31" s="86" t="n">
        <f aca="false">IF(L15=0,0,L30/L15)</f>
        <v>0.408931658704772</v>
      </c>
      <c r="M31" s="86" t="n">
        <f aca="false">IF(M15=0,0,M30/M15)</f>
        <v>0.407291907063929</v>
      </c>
      <c r="N31" s="86" t="n">
        <f aca="false">IF(N15=0,0,N30/N15)</f>
        <v>0.405644272001737</v>
      </c>
    </row>
    <row r="33" customFormat="false" ht="15" hidden="false" customHeight="false" outlineLevel="0" collapsed="false">
      <c r="B33" s="77" t="s">
        <v>315</v>
      </c>
      <c r="C33" s="75"/>
      <c r="D33" s="82" t="n">
        <f aca="false">-D15*Assumptions!$C$32</f>
        <v>-0</v>
      </c>
      <c r="E33" s="82" t="n">
        <f aca="false">-E15*Assumptions!$C$32</f>
        <v>-17757792</v>
      </c>
      <c r="F33" s="82" t="n">
        <f aca="false">-F15*Assumptions!$C$32</f>
        <v>-20362268.16</v>
      </c>
      <c r="G33" s="82" t="n">
        <f aca="false">-G15*Assumptions!$C$32</f>
        <v>-22161724.416</v>
      </c>
      <c r="H33" s="82" t="n">
        <f aca="false">-H15*Assumptions!$C$32</f>
        <v>-23048193.39264</v>
      </c>
      <c r="I33" s="82" t="n">
        <f aca="false">-I15*Assumptions!$C$32</f>
        <v>-23970121.1283456</v>
      </c>
      <c r="J33" s="82" t="n">
        <f aca="false">-J15*Assumptions!$C$32</f>
        <v>-24928925.9734794</v>
      </c>
      <c r="K33" s="82" t="n">
        <f aca="false">-K15*Assumptions!$C$32</f>
        <v>-25926083.0124186</v>
      </c>
      <c r="L33" s="82" t="n">
        <f aca="false">-L15*Assumptions!$C$32</f>
        <v>-26963126.3329154</v>
      </c>
      <c r="M33" s="82" t="n">
        <f aca="false">-M15*Assumptions!$C$32</f>
        <v>-28041651.386232</v>
      </c>
      <c r="N33" s="82" t="n">
        <f aca="false">-N15*Assumptions!$C$32</f>
        <v>-29163317.4416812</v>
      </c>
    </row>
    <row r="34" customFormat="false" ht="15" hidden="false" customHeight="false" outlineLevel="0" collapsed="false">
      <c r="B34" s="77" t="s">
        <v>316</v>
      </c>
      <c r="C34" s="75"/>
      <c r="D34" s="82" t="n">
        <f aca="false">-Capex!$I$50</f>
        <v>-3892019835.94653</v>
      </c>
      <c r="E34" s="82" t="n">
        <f aca="false">-Capex!$J$50</f>
        <v>-151526714.007435</v>
      </c>
      <c r="F34" s="82" t="n">
        <v>0</v>
      </c>
      <c r="G34" s="82" t="n">
        <v>0</v>
      </c>
      <c r="H34" s="82" t="n">
        <v>0</v>
      </c>
      <c r="I34" s="82" t="n">
        <v>0</v>
      </c>
      <c r="J34" s="82" t="n">
        <v>0</v>
      </c>
      <c r="K34" s="82" t="n">
        <v>0</v>
      </c>
      <c r="L34" s="82" t="n">
        <v>0</v>
      </c>
      <c r="M34" s="82" t="n">
        <v>0</v>
      </c>
      <c r="N34" s="82" t="n">
        <v>0</v>
      </c>
    </row>
    <row r="35" customFormat="false" ht="15" hidden="false" customHeight="false" outlineLevel="0" collapsed="false">
      <c r="B35" s="83" t="s">
        <v>317</v>
      </c>
      <c r="C35" s="75"/>
      <c r="D35" s="84" t="n">
        <f aca="false">D30+D33+D34</f>
        <v>-3892019835.94653</v>
      </c>
      <c r="E35" s="84" t="n">
        <f aca="false">E30+E33+E34</f>
        <v>53465093.9925654</v>
      </c>
      <c r="F35" s="84" t="n">
        <f aca="false">F30+F33+F34</f>
        <v>254716427.84</v>
      </c>
      <c r="G35" s="84" t="n">
        <f aca="false">G30+G33+G34</f>
        <v>285896202.584</v>
      </c>
      <c r="H35" s="84" t="n">
        <f aca="false">H30+H33+H34</f>
        <v>296102124.77036</v>
      </c>
      <c r="I35" s="84" t="n">
        <f aca="false">I30+I33+I34</f>
        <v>306660937.17791</v>
      </c>
      <c r="J35" s="84" t="n">
        <f aca="false">J30+J33+J34</f>
        <v>317584264.815514</v>
      </c>
      <c r="K35" s="84" t="n">
        <f aca="false">K30+K33+K34</f>
        <v>328884085.615395</v>
      </c>
      <c r="L35" s="84" t="n">
        <f aca="false">L30+L33+L34</f>
        <v>340572739.506597</v>
      </c>
      <c r="M35" s="84" t="n">
        <f aca="false">M30+M33+M34</f>
        <v>352662937.624444</v>
      </c>
      <c r="N35" s="84" t="n">
        <f aca="false">N30+N33+N34</f>
        <v>365167771.651197</v>
      </c>
    </row>
    <row r="36" customFormat="false" ht="15" hidden="false" customHeight="false" outlineLevel="0" collapsed="false">
      <c r="B36" s="74" t="s">
        <v>318</v>
      </c>
      <c r="C36" s="75"/>
      <c r="D36" s="87" t="n">
        <v>0</v>
      </c>
      <c r="E36" s="87" t="n">
        <v>0</v>
      </c>
      <c r="F36" s="87" t="n">
        <v>0</v>
      </c>
      <c r="G36" s="87" t="n">
        <v>0</v>
      </c>
      <c r="H36" s="87" t="n">
        <v>0</v>
      </c>
      <c r="I36" s="87" t="n">
        <v>0</v>
      </c>
      <c r="J36" s="87" t="n">
        <v>0</v>
      </c>
      <c r="K36" s="87" t="n">
        <v>0</v>
      </c>
      <c r="L36" s="87" t="n">
        <v>0</v>
      </c>
      <c r="M36" s="87" t="n">
        <v>0</v>
      </c>
      <c r="N36" s="87" t="n">
        <f aca="false">N30*(1+Assumptions!$C$62)/Assumptions!$C$61*(1-Assumptions!$C$63)</f>
        <v>4728261717.68778</v>
      </c>
    </row>
    <row r="37" customFormat="false" ht="15" hidden="false" customHeight="false" outlineLevel="0" collapsed="false">
      <c r="B37" s="74" t="s">
        <v>319</v>
      </c>
      <c r="C37" s="75"/>
      <c r="D37" s="87" t="n">
        <v>0</v>
      </c>
      <c r="E37" s="87" t="n">
        <v>0</v>
      </c>
      <c r="F37" s="87" t="n">
        <v>0</v>
      </c>
      <c r="G37" s="87" t="n">
        <v>0</v>
      </c>
      <c r="H37" s="87" t="n">
        <v>0</v>
      </c>
      <c r="I37" s="87" t="n">
        <v>0</v>
      </c>
      <c r="J37" s="87" t="n">
        <v>0</v>
      </c>
      <c r="K37" s="87" t="n">
        <v>0</v>
      </c>
      <c r="L37" s="87" t="n">
        <v>0</v>
      </c>
      <c r="M37" s="87" t="n">
        <v>0</v>
      </c>
      <c r="N37" s="87" t="n">
        <f aca="false">(N30+N33)*(1+Assumptions!$C$62)/(Assumptions!$C$59-Assumptions!$C$62)*(1-((1+Assumptions!$C$62)/(1+Assumptions!$C$59))^(Assumptions!$C$58-Assumptions!$C$57))</f>
        <v>4233261299.79981</v>
      </c>
    </row>
    <row r="38" customFormat="false" ht="15" hidden="false" customHeight="false" outlineLevel="0" collapsed="false">
      <c r="B38" s="74" t="s">
        <v>320</v>
      </c>
      <c r="C38" s="75"/>
      <c r="D38" s="87" t="n">
        <v>0</v>
      </c>
      <c r="E38" s="87" t="n">
        <v>0</v>
      </c>
      <c r="F38" s="87" t="n">
        <v>0</v>
      </c>
      <c r="G38" s="87" t="n">
        <v>0</v>
      </c>
      <c r="H38" s="87" t="n">
        <v>0</v>
      </c>
      <c r="I38" s="87" t="n">
        <v>0</v>
      </c>
      <c r="J38" s="87" t="n">
        <v>0</v>
      </c>
      <c r="K38" s="87" t="n">
        <v>0</v>
      </c>
      <c r="L38" s="87" t="n">
        <v>0</v>
      </c>
      <c r="M38" s="87" t="n">
        <v>0</v>
      </c>
      <c r="N38" s="87" t="n">
        <f aca="false">Capex!$I$65</f>
        <v>2215352500</v>
      </c>
    </row>
    <row r="39" customFormat="false" ht="15" hidden="false" customHeight="false" outlineLevel="0" collapsed="false">
      <c r="B39" s="77" t="s">
        <v>321</v>
      </c>
      <c r="C39" s="75"/>
      <c r="D39" s="82" t="n">
        <f aca="false">CHOOSE(Assumptions!$C$60,D36,D37,D38,0)</f>
        <v>0</v>
      </c>
      <c r="E39" s="82" t="n">
        <f aca="false">CHOOSE(Assumptions!$C$60,E36,E37,E38,0)</f>
        <v>0</v>
      </c>
      <c r="F39" s="82" t="n">
        <f aca="false">CHOOSE(Assumptions!$C$60,F36,F37,F38,0)</f>
        <v>0</v>
      </c>
      <c r="G39" s="82" t="n">
        <f aca="false">CHOOSE(Assumptions!$C$60,G36,G37,G38,0)</f>
        <v>0</v>
      </c>
      <c r="H39" s="82" t="n">
        <f aca="false">CHOOSE(Assumptions!$C$60,H36,H37,H38,0)</f>
        <v>0</v>
      </c>
      <c r="I39" s="82" t="n">
        <f aca="false">CHOOSE(Assumptions!$C$60,I36,I37,I38,0)</f>
        <v>0</v>
      </c>
      <c r="J39" s="82" t="n">
        <f aca="false">CHOOSE(Assumptions!$C$60,J36,J37,J38,0)</f>
        <v>0</v>
      </c>
      <c r="K39" s="82" t="n">
        <f aca="false">CHOOSE(Assumptions!$C$60,K36,K37,K38,0)</f>
        <v>0</v>
      </c>
      <c r="L39" s="82" t="n">
        <f aca="false">CHOOSE(Assumptions!$C$60,L36,L37,L38,0)</f>
        <v>0</v>
      </c>
      <c r="M39" s="82" t="n">
        <f aca="false">CHOOSE(Assumptions!$C$60,M36,M37,M38,0)</f>
        <v>0</v>
      </c>
      <c r="N39" s="82" t="n">
        <f aca="false">CHOOSE(Assumptions!$C$60,N36,N37,N38,0)</f>
        <v>4233261299.79981</v>
      </c>
    </row>
    <row r="40" customFormat="false" ht="15" hidden="false" customHeight="false" outlineLevel="0" collapsed="false">
      <c r="B40" s="33" t="s">
        <v>322</v>
      </c>
      <c r="C40" s="75"/>
      <c r="D40" s="88" t="n">
        <f aca="false">D35+D39</f>
        <v>-3892019835.94653</v>
      </c>
      <c r="E40" s="88" t="n">
        <f aca="false">E35+E39</f>
        <v>53465093.9925654</v>
      </c>
      <c r="F40" s="88" t="n">
        <f aca="false">F35+F39</f>
        <v>254716427.84</v>
      </c>
      <c r="G40" s="88" t="n">
        <f aca="false">G35+G39</f>
        <v>285896202.584</v>
      </c>
      <c r="H40" s="88" t="n">
        <f aca="false">H35+H39</f>
        <v>296102124.77036</v>
      </c>
      <c r="I40" s="88" t="n">
        <f aca="false">I35+I39</f>
        <v>306660937.17791</v>
      </c>
      <c r="J40" s="88" t="n">
        <f aca="false">J35+J39</f>
        <v>317584264.815514</v>
      </c>
      <c r="K40" s="88" t="n">
        <f aca="false">K35+K39</f>
        <v>328884085.615395</v>
      </c>
      <c r="L40" s="88" t="n">
        <f aca="false">L35+L39</f>
        <v>340572739.506597</v>
      </c>
      <c r="M40" s="88" t="n">
        <f aca="false">M35+M39</f>
        <v>352662937.624444</v>
      </c>
      <c r="N40" s="88" t="n">
        <f aca="false">N35+N39</f>
        <v>4598429071.45101</v>
      </c>
    </row>
    <row r="42" customFormat="false" ht="15" hidden="false" customHeight="false" outlineLevel="0" collapsed="false">
      <c r="B42" s="77" t="s">
        <v>323</v>
      </c>
      <c r="C42" s="75"/>
      <c r="D42" s="82" t="n">
        <f aca="false">D35</f>
        <v>-3892019835.94653</v>
      </c>
      <c r="E42" s="82" t="n">
        <f aca="false">D42+E35</f>
        <v>-3838554741.95396</v>
      </c>
      <c r="F42" s="82" t="n">
        <f aca="false">E42+F35</f>
        <v>-3583838314.11396</v>
      </c>
      <c r="G42" s="82" t="n">
        <f aca="false">F42+G35</f>
        <v>-3297942111.52996</v>
      </c>
      <c r="H42" s="82" t="n">
        <f aca="false">G42+H35</f>
        <v>-3001839986.7596</v>
      </c>
      <c r="I42" s="82" t="n">
        <f aca="false">H42+I35</f>
        <v>-2695179049.58169</v>
      </c>
      <c r="J42" s="82" t="n">
        <f aca="false">I42+J35</f>
        <v>-2377594784.76618</v>
      </c>
      <c r="K42" s="82" t="n">
        <f aca="false">J42+K35</f>
        <v>-2048710699.15078</v>
      </c>
      <c r="L42" s="82" t="n">
        <f aca="false">K42+L35</f>
        <v>-1708137959.64419</v>
      </c>
      <c r="M42" s="82" t="n">
        <f aca="false">L42+M35</f>
        <v>-1355475022.01974</v>
      </c>
      <c r="N42" s="82" t="n">
        <f aca="false">M42+N35</f>
        <v>-990307250.368544</v>
      </c>
    </row>
    <row r="43" customFormat="false" ht="15" hidden="false" customHeight="false" outlineLevel="0" collapsed="false">
      <c r="B43" s="74" t="s">
        <v>324</v>
      </c>
      <c r="C43" s="75"/>
      <c r="D43" s="89" t="n">
        <f aca="false">1/(1+Assumptions!$C$59)^D$7</f>
        <v>1</v>
      </c>
      <c r="E43" s="89" t="n">
        <f aca="false">1/(1+Assumptions!$C$59)^E$7</f>
        <v>0.892857142857143</v>
      </c>
      <c r="F43" s="89" t="n">
        <f aca="false">1/(1+Assumptions!$C$59)^F$7</f>
        <v>0.79719387755102</v>
      </c>
      <c r="G43" s="89" t="n">
        <f aca="false">1/(1+Assumptions!$C$59)^G$7</f>
        <v>0.711780247813411</v>
      </c>
      <c r="H43" s="89" t="n">
        <f aca="false">1/(1+Assumptions!$C$59)^H$7</f>
        <v>0.635518078404831</v>
      </c>
      <c r="I43" s="89" t="n">
        <f aca="false">1/(1+Assumptions!$C$59)^I$7</f>
        <v>0.567426855718599</v>
      </c>
      <c r="J43" s="89" t="n">
        <f aca="false">1/(1+Assumptions!$C$59)^J$7</f>
        <v>0.506631121177321</v>
      </c>
      <c r="K43" s="89" t="n">
        <f aca="false">1/(1+Assumptions!$C$59)^K$7</f>
        <v>0.452349215336893</v>
      </c>
      <c r="L43" s="89" t="n">
        <f aca="false">1/(1+Assumptions!$C$59)^L$7</f>
        <v>0.403883227979369</v>
      </c>
      <c r="M43" s="89" t="n">
        <f aca="false">1/(1+Assumptions!$C$59)^M$7</f>
        <v>0.360610024981579</v>
      </c>
      <c r="N43" s="89" t="n">
        <f aca="false">1/(1+Assumptions!$C$59)^N$7</f>
        <v>0.321973236590696</v>
      </c>
    </row>
    <row r="44" customFormat="false" ht="15" hidden="false" customHeight="false" outlineLevel="0" collapsed="false">
      <c r="B44" s="77" t="s">
        <v>325</v>
      </c>
      <c r="C44" s="75"/>
      <c r="D44" s="82" t="n">
        <f aca="false">D40*D43</f>
        <v>-3892019835.94653</v>
      </c>
      <c r="E44" s="82" t="n">
        <f aca="false">E40*E43</f>
        <v>47736691.0647905</v>
      </c>
      <c r="F44" s="82" t="n">
        <f aca="false">F40*F43</f>
        <v>203058376.785714</v>
      </c>
      <c r="G44" s="82" t="n">
        <f aca="false">G40*G43</f>
        <v>203495269.924153</v>
      </c>
      <c r="H44" s="82" t="n">
        <f aca="false">H40*H43</f>
        <v>188178253.345647</v>
      </c>
      <c r="I44" s="82" t="n">
        <f aca="false">I40*I43</f>
        <v>174007651.35458</v>
      </c>
      <c r="J44" s="82" t="n">
        <f aca="false">J40*J43</f>
        <v>160898072.151759</v>
      </c>
      <c r="K44" s="82" t="n">
        <f aca="false">K40*K43</f>
        <v>148770458.064915</v>
      </c>
      <c r="L44" s="82" t="n">
        <f aca="false">L40*L43</f>
        <v>137551617.393701</v>
      </c>
      <c r="M44" s="82" t="n">
        <f aca="false">M40*M43</f>
        <v>127173790.746828</v>
      </c>
      <c r="N44" s="82" t="n">
        <f aca="false">N40*N43</f>
        <v>1480571091.36783</v>
      </c>
    </row>
    <row r="45" customFormat="false" ht="15" hidden="false" customHeight="false" outlineLevel="0" collapsed="false">
      <c r="B45" s="77" t="s">
        <v>326</v>
      </c>
      <c r="C45" s="75"/>
      <c r="D45" s="82" t="n">
        <f aca="false">D35*D43</f>
        <v>-3892019835.94653</v>
      </c>
      <c r="E45" s="82" t="n">
        <f aca="false">D45+E35*E43</f>
        <v>-3844283144.88174</v>
      </c>
      <c r="F45" s="82" t="n">
        <f aca="false">E45+F35*F43</f>
        <v>-3641224768.09602</v>
      </c>
      <c r="G45" s="82" t="n">
        <f aca="false">F45+G35*G43</f>
        <v>-3437729498.17187</v>
      </c>
      <c r="H45" s="82" t="n">
        <f aca="false">G45+H35*H43</f>
        <v>-3249551244.82622</v>
      </c>
      <c r="I45" s="82" t="n">
        <f aca="false">H45+I35*I43</f>
        <v>-3075543593.47164</v>
      </c>
      <c r="J45" s="82" t="n">
        <f aca="false">I45+J35*J43</f>
        <v>-2914645521.31988</v>
      </c>
      <c r="K45" s="82" t="n">
        <f aca="false">J45+K35*K43</f>
        <v>-2765875063.25497</v>
      </c>
      <c r="L45" s="82" t="n">
        <f aca="false">K45+L35*L43</f>
        <v>-2628323445.86127</v>
      </c>
      <c r="M45" s="82" t="n">
        <f aca="false">L45+M35*M43</f>
        <v>-2501149655.11444</v>
      </c>
      <c r="N45" s="82" t="n">
        <f aca="false">M45+N35*N43</f>
        <v>-2383575405.77729</v>
      </c>
    </row>
    <row r="46" customFormat="false" ht="15" hidden="false" customHeight="false" outlineLevel="0" collapsed="false">
      <c r="B46" s="74" t="s">
        <v>327</v>
      </c>
      <c r="C46" s="75"/>
      <c r="D46" s="90"/>
      <c r="E46" s="90" t="str">
        <f aca="false">IF(AND(D42&lt;0,E42&gt;=0),D$7-D42/E35,"")</f>
        <v/>
      </c>
      <c r="F46" s="90" t="str">
        <f aca="false">IF(AND(E42&lt;0,F42&gt;=0),E$7-E42/F35,"")</f>
        <v/>
      </c>
      <c r="G46" s="90" t="str">
        <f aca="false">IF(AND(F42&lt;0,G42&gt;=0),F$7-F42/G35,"")</f>
        <v/>
      </c>
      <c r="H46" s="90" t="str">
        <f aca="false">IF(AND(G42&lt;0,H42&gt;=0),G$7-G42/H35,"")</f>
        <v/>
      </c>
      <c r="I46" s="90" t="str">
        <f aca="false">IF(AND(H42&lt;0,I42&gt;=0),H$7-H42/I35,"")</f>
        <v/>
      </c>
      <c r="J46" s="90" t="str">
        <f aca="false">IF(AND(I42&lt;0,J42&gt;=0),I$7-I42/J35,"")</f>
        <v/>
      </c>
      <c r="K46" s="90" t="str">
        <f aca="false">IF(AND(J42&lt;0,K42&gt;=0),J$7-J42/K35,"")</f>
        <v/>
      </c>
      <c r="L46" s="90" t="str">
        <f aca="false">IF(AND(K42&lt;0,L42&gt;=0),K$7-K42/L35,"")</f>
        <v/>
      </c>
      <c r="M46" s="90" t="str">
        <f aca="false">IF(AND(L42&lt;0,M42&gt;=0),L$7-L42/M35,"")</f>
        <v/>
      </c>
      <c r="N46" s="90" t="str">
        <f aca="false">IF(AND(M42&lt;0,N42&gt;=0),M$7-M42/N35,"")</f>
        <v/>
      </c>
    </row>
    <row r="47" customFormat="false" ht="15" hidden="false" customHeight="false" outlineLevel="0" collapsed="false">
      <c r="B47" s="74" t="s">
        <v>328</v>
      </c>
      <c r="C47" s="75"/>
      <c r="D47" s="90"/>
      <c r="E47" s="90" t="str">
        <f aca="false">IF(AND(D45&lt;0,E45&gt;=0),D$7-D45/(E35*E43),"")</f>
        <v/>
      </c>
      <c r="F47" s="90" t="str">
        <f aca="false">IF(AND(E45&lt;0,F45&gt;=0),E$7-E45/(F35*F43),"")</f>
        <v/>
      </c>
      <c r="G47" s="90" t="str">
        <f aca="false">IF(AND(F45&lt;0,G45&gt;=0),F$7-F45/(G35*G43),"")</f>
        <v/>
      </c>
      <c r="H47" s="90" t="str">
        <f aca="false">IF(AND(G45&lt;0,H45&gt;=0),G$7-G45/(H35*H43),"")</f>
        <v/>
      </c>
      <c r="I47" s="90" t="str">
        <f aca="false">IF(AND(H45&lt;0,I45&gt;=0),H$7-H45/(I35*I43),"")</f>
        <v/>
      </c>
      <c r="J47" s="90" t="str">
        <f aca="false">IF(AND(I45&lt;0,J45&gt;=0),I$7-I45/(J35*J43),"")</f>
        <v/>
      </c>
      <c r="K47" s="90" t="str">
        <f aca="false">IF(AND(J45&lt;0,K45&gt;=0),J$7-J45/(K35*K43),"")</f>
        <v/>
      </c>
      <c r="L47" s="90" t="str">
        <f aca="false">IF(AND(K45&lt;0,L45&gt;=0),K$7-K45/(L35*L43),"")</f>
        <v/>
      </c>
      <c r="M47" s="90" t="str">
        <f aca="false">IF(AND(L45&lt;0,M45&gt;=0),L$7-L45/(M35*M43),"")</f>
        <v/>
      </c>
      <c r="N47" s="90" t="str">
        <f aca="false">IF(AND(M45&lt;0,N45&gt;=0),M$7-M45/(N35*N43),"")</f>
        <v/>
      </c>
    </row>
    <row r="49" customFormat="false" ht="15" hidden="false" customHeight="false" outlineLevel="0" collapsed="false">
      <c r="B49" s="8" t="s">
        <v>329</v>
      </c>
      <c r="C49" s="73" t="str">
        <f aca="false">TEXT(Assumptions!$D$12,"0")&amp;" rooms ("&amp;TEXT(Assumptions!$D$9,"0")&amp;" large + "&amp;TEXT(Assumptions!$D$10,"0")&amp;" small)"</f>
        <v>8 rooms (4 large + 4 small)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customFormat="false" ht="15" hidden="false" customHeight="false" outlineLevel="0" collapsed="false">
      <c r="B50" s="10" t="s">
        <v>269</v>
      </c>
      <c r="C50" s="11" t="s">
        <v>74</v>
      </c>
      <c r="D50" s="11" t="s">
        <v>284</v>
      </c>
      <c r="E50" s="11" t="s">
        <v>285</v>
      </c>
      <c r="F50" s="11" t="s">
        <v>286</v>
      </c>
      <c r="G50" s="11" t="s">
        <v>287</v>
      </c>
      <c r="H50" s="11" t="s">
        <v>288</v>
      </c>
      <c r="I50" s="11" t="s">
        <v>289</v>
      </c>
      <c r="J50" s="11" t="s">
        <v>290</v>
      </c>
      <c r="K50" s="11" t="s">
        <v>291</v>
      </c>
      <c r="L50" s="11" t="s">
        <v>292</v>
      </c>
      <c r="M50" s="11" t="s">
        <v>293</v>
      </c>
      <c r="N50" s="11" t="s">
        <v>294</v>
      </c>
    </row>
    <row r="51" customFormat="false" ht="15" hidden="false" customHeight="false" outlineLevel="0" collapsed="false">
      <c r="B51" s="74" t="s">
        <v>295</v>
      </c>
      <c r="C51" s="75"/>
      <c r="D51" s="76" t="n">
        <v>0</v>
      </c>
      <c r="E51" s="76" t="n">
        <v>1</v>
      </c>
      <c r="F51" s="76" t="n">
        <v>2</v>
      </c>
      <c r="G51" s="76" t="n">
        <v>3</v>
      </c>
      <c r="H51" s="76" t="n">
        <v>4</v>
      </c>
      <c r="I51" s="76" t="n">
        <v>5</v>
      </c>
      <c r="J51" s="76" t="n">
        <v>6</v>
      </c>
      <c r="K51" s="76" t="n">
        <v>7</v>
      </c>
      <c r="L51" s="76" t="n">
        <v>8</v>
      </c>
      <c r="M51" s="76" t="n">
        <v>9</v>
      </c>
      <c r="N51" s="76" t="n">
        <v>10</v>
      </c>
    </row>
    <row r="52" customFormat="false" ht="15" hidden="false" customHeight="false" outlineLevel="0" collapsed="false">
      <c r="B52" s="77" t="s">
        <v>296</v>
      </c>
      <c r="C52" s="75" t="s">
        <v>97</v>
      </c>
      <c r="D52" s="78" t="n">
        <f aca="false">IF(D$51=0,0,IF(D$51=1,Assumptions!$C$20,IF(D$51=2,Assumptions!$C$21,Assumptions!$C$22)))</f>
        <v>0</v>
      </c>
      <c r="E52" s="78" t="n">
        <f aca="false">IF(E$51=0,0,IF(E$51=1,Assumptions!$C$20,IF(E$51=2,Assumptions!$C$21,Assumptions!$C$22)))</f>
        <v>0.78</v>
      </c>
      <c r="F52" s="78" t="n">
        <f aca="false">IF(F$51=0,0,IF(F$51=1,Assumptions!$C$20,IF(F$51=2,Assumptions!$C$21,Assumptions!$C$22)))</f>
        <v>0.86</v>
      </c>
      <c r="G52" s="78" t="n">
        <f aca="false">IF(G$51=0,0,IF(G$51=1,Assumptions!$C$20,IF(G$51=2,Assumptions!$C$21,Assumptions!$C$22)))</f>
        <v>0.9</v>
      </c>
      <c r="H52" s="78" t="n">
        <f aca="false">IF(H$51=0,0,IF(H$51=1,Assumptions!$C$20,IF(H$51=2,Assumptions!$C$21,Assumptions!$C$22)))</f>
        <v>0.9</v>
      </c>
      <c r="I52" s="78" t="n">
        <f aca="false">IF(I$51=0,0,IF(I$51=1,Assumptions!$C$20,IF(I$51=2,Assumptions!$C$21,Assumptions!$C$22)))</f>
        <v>0.9</v>
      </c>
      <c r="J52" s="78" t="n">
        <f aca="false">IF(J$51=0,0,IF(J$51=1,Assumptions!$C$20,IF(J$51=2,Assumptions!$C$21,Assumptions!$C$22)))</f>
        <v>0.9</v>
      </c>
      <c r="K52" s="78" t="n">
        <f aca="false">IF(K$51=0,0,IF(K$51=1,Assumptions!$C$20,IF(K$51=2,Assumptions!$C$21,Assumptions!$C$22)))</f>
        <v>0.9</v>
      </c>
      <c r="L52" s="78" t="n">
        <f aca="false">IF(L$51=0,0,IF(L$51=1,Assumptions!$C$20,IF(L$51=2,Assumptions!$C$21,Assumptions!$C$22)))</f>
        <v>0.9</v>
      </c>
      <c r="M52" s="78" t="n">
        <f aca="false">IF(M$51=0,0,IF(M$51=1,Assumptions!$C$20,IF(M$51=2,Assumptions!$C$21,Assumptions!$C$22)))</f>
        <v>0.9</v>
      </c>
      <c r="N52" s="78" t="n">
        <f aca="false">IF(N$51=0,0,IF(N$51=1,Assumptions!$C$20,IF(N$51=2,Assumptions!$C$21,Assumptions!$C$22)))</f>
        <v>0.9</v>
      </c>
    </row>
    <row r="53" customFormat="false" ht="15" hidden="false" customHeight="false" outlineLevel="0" collapsed="false">
      <c r="B53" s="79" t="s">
        <v>297</v>
      </c>
      <c r="C53" s="75" t="s">
        <v>298</v>
      </c>
      <c r="D53" s="80" t="n">
        <f aca="false">IF(D$51=0,0,Assumptions!$C$16*(1+Assumptions!$C$18)^(D$51-1))</f>
        <v>0</v>
      </c>
      <c r="E53" s="80" t="n">
        <f aca="false">IF(E$51=0,0,Assumptions!$C$16*(1+Assumptions!$C$18)^(E$51-1))</f>
        <v>11500000</v>
      </c>
      <c r="F53" s="80" t="n">
        <f aca="false">IF(F$51=0,0,Assumptions!$C$16*(1+Assumptions!$C$18)^(F$51-1))</f>
        <v>11960000</v>
      </c>
      <c r="G53" s="80" t="n">
        <f aca="false">IF(G$51=0,0,Assumptions!$C$16*(1+Assumptions!$C$18)^(G$51-1))</f>
        <v>12438400</v>
      </c>
      <c r="H53" s="80" t="n">
        <f aca="false">IF(H$51=0,0,Assumptions!$C$16*(1+Assumptions!$C$18)^(H$51-1))</f>
        <v>12935936</v>
      </c>
      <c r="I53" s="80" t="n">
        <f aca="false">IF(I$51=0,0,Assumptions!$C$16*(1+Assumptions!$C$18)^(I$51-1))</f>
        <v>13453373.44</v>
      </c>
      <c r="J53" s="80" t="n">
        <f aca="false">IF(J$51=0,0,Assumptions!$C$16*(1+Assumptions!$C$18)^(J$51-1))</f>
        <v>13991508.3776</v>
      </c>
      <c r="K53" s="80" t="n">
        <f aca="false">IF(K$51=0,0,Assumptions!$C$16*(1+Assumptions!$C$18)^(K$51-1))</f>
        <v>14551168.712704</v>
      </c>
      <c r="L53" s="80" t="n">
        <f aca="false">IF(L$51=0,0,Assumptions!$C$16*(1+Assumptions!$C$18)^(L$51-1))</f>
        <v>15133215.4612122</v>
      </c>
      <c r="M53" s="80" t="n">
        <f aca="false">IF(M$51=0,0,Assumptions!$C$16*(1+Assumptions!$C$18)^(M$51-1))</f>
        <v>15738544.0796607</v>
      </c>
      <c r="N53" s="80" t="n">
        <f aca="false">IF(N$51=0,0,Assumptions!$C$16*(1+Assumptions!$C$18)^(N$51-1))</f>
        <v>16368085.8428471</v>
      </c>
    </row>
    <row r="54" customFormat="false" ht="15" hidden="false" customHeight="false" outlineLevel="0" collapsed="false">
      <c r="B54" s="79" t="s">
        <v>299</v>
      </c>
      <c r="C54" s="75" t="s">
        <v>298</v>
      </c>
      <c r="D54" s="80" t="n">
        <f aca="false">IF(D$51=0,0,Assumptions!$C$17*(1+Assumptions!$C$19)^(D$51-1))</f>
        <v>0</v>
      </c>
      <c r="E54" s="80" t="n">
        <f aca="false">IF(E$51=0,0,Assumptions!$C$17*(1+Assumptions!$C$19)^(E$51-1))</f>
        <v>8000000</v>
      </c>
      <c r="F54" s="80" t="n">
        <f aca="false">IF(F$51=0,0,Assumptions!$C$17*(1+Assumptions!$C$19)^(F$51-1))</f>
        <v>8320000</v>
      </c>
      <c r="G54" s="80" t="n">
        <f aca="false">IF(G$51=0,0,Assumptions!$C$17*(1+Assumptions!$C$19)^(G$51-1))</f>
        <v>8652800</v>
      </c>
      <c r="H54" s="80" t="n">
        <f aca="false">IF(H$51=0,0,Assumptions!$C$17*(1+Assumptions!$C$19)^(H$51-1))</f>
        <v>8998912</v>
      </c>
      <c r="I54" s="80" t="n">
        <f aca="false">IF(I$51=0,0,Assumptions!$C$17*(1+Assumptions!$C$19)^(I$51-1))</f>
        <v>9358868.48</v>
      </c>
      <c r="J54" s="80" t="n">
        <f aca="false">IF(J$51=0,0,Assumptions!$C$17*(1+Assumptions!$C$19)^(J$51-1))</f>
        <v>9733223.2192</v>
      </c>
      <c r="K54" s="80" t="n">
        <f aca="false">IF(K$51=0,0,Assumptions!$C$17*(1+Assumptions!$C$19)^(K$51-1))</f>
        <v>10122552.147968</v>
      </c>
      <c r="L54" s="80" t="n">
        <f aca="false">IF(L$51=0,0,Assumptions!$C$17*(1+Assumptions!$C$19)^(L$51-1))</f>
        <v>10527454.2338867</v>
      </c>
      <c r="M54" s="80" t="n">
        <f aca="false">IF(M$51=0,0,Assumptions!$C$17*(1+Assumptions!$C$19)^(M$51-1))</f>
        <v>10948552.4032422</v>
      </c>
      <c r="N54" s="80" t="n">
        <f aca="false">IF(N$51=0,0,Assumptions!$C$17*(1+Assumptions!$C$19)^(N$51-1))</f>
        <v>11386494.4993719</v>
      </c>
    </row>
    <row r="55" customFormat="false" ht="15" hidden="false" customHeight="false" outlineLevel="0" collapsed="false">
      <c r="B55" s="77" t="s">
        <v>300</v>
      </c>
      <c r="C55" s="75" t="s">
        <v>301</v>
      </c>
      <c r="D55" s="81" t="n">
        <f aca="false">(Assumptions!$D$9+Assumptions!$D$10)*12*D52</f>
        <v>0</v>
      </c>
      <c r="E55" s="81" t="n">
        <f aca="false">(Assumptions!$D$9+Assumptions!$D$10)*12*E52</f>
        <v>74.88</v>
      </c>
      <c r="F55" s="81" t="n">
        <f aca="false">(Assumptions!$D$9+Assumptions!$D$10)*12*F52</f>
        <v>82.56</v>
      </c>
      <c r="G55" s="81" t="n">
        <f aca="false">(Assumptions!$D$9+Assumptions!$D$10)*12*G52</f>
        <v>86.4</v>
      </c>
      <c r="H55" s="81" t="n">
        <f aca="false">(Assumptions!$D$9+Assumptions!$D$10)*12*H52</f>
        <v>86.4</v>
      </c>
      <c r="I55" s="81" t="n">
        <f aca="false">(Assumptions!$D$9+Assumptions!$D$10)*12*I52</f>
        <v>86.4</v>
      </c>
      <c r="J55" s="81" t="n">
        <f aca="false">(Assumptions!$D$9+Assumptions!$D$10)*12*J52</f>
        <v>86.4</v>
      </c>
      <c r="K55" s="81" t="n">
        <f aca="false">(Assumptions!$D$9+Assumptions!$D$10)*12*K52</f>
        <v>86.4</v>
      </c>
      <c r="L55" s="81" t="n">
        <f aca="false">(Assumptions!$D$9+Assumptions!$D$10)*12*L52</f>
        <v>86.4</v>
      </c>
      <c r="M55" s="81" t="n">
        <f aca="false">(Assumptions!$D$9+Assumptions!$D$10)*12*M52</f>
        <v>86.4</v>
      </c>
      <c r="N55" s="81" t="n">
        <f aca="false">(Assumptions!$D$9+Assumptions!$D$10)*12*N52</f>
        <v>86.4</v>
      </c>
    </row>
    <row r="56" customFormat="false" ht="15" hidden="false" customHeight="false" outlineLevel="0" collapsed="false">
      <c r="B56" s="77" t="s">
        <v>302</v>
      </c>
      <c r="C56" s="75"/>
      <c r="D56" s="82" t="n">
        <f aca="false">Assumptions!$D$9*12*D52*D53</f>
        <v>0</v>
      </c>
      <c r="E56" s="82" t="n">
        <f aca="false">Assumptions!$D$9*12*E52*E53</f>
        <v>430560000</v>
      </c>
      <c r="F56" s="82" t="n">
        <f aca="false">Assumptions!$D$9*12*F52*F53</f>
        <v>493708800</v>
      </c>
      <c r="G56" s="82" t="n">
        <f aca="false">Assumptions!$D$9*12*G52*G53</f>
        <v>537338880</v>
      </c>
      <c r="H56" s="82" t="n">
        <f aca="false">Assumptions!$D$9*12*H52*H53</f>
        <v>558832435.2</v>
      </c>
      <c r="I56" s="82" t="n">
        <f aca="false">Assumptions!$D$9*12*I52*I53</f>
        <v>581185732.608</v>
      </c>
      <c r="J56" s="82" t="n">
        <f aca="false">Assumptions!$D$9*12*J52*J53</f>
        <v>604433161.91232</v>
      </c>
      <c r="K56" s="82" t="n">
        <f aca="false">Assumptions!$D$9*12*K52*K53</f>
        <v>628610488.388813</v>
      </c>
      <c r="L56" s="82" t="n">
        <f aca="false">Assumptions!$D$9*12*L52*L53</f>
        <v>653754907.924366</v>
      </c>
      <c r="M56" s="82" t="n">
        <f aca="false">Assumptions!$D$9*12*M52*M53</f>
        <v>679905104.24134</v>
      </c>
      <c r="N56" s="82" t="n">
        <f aca="false">Assumptions!$D$9*12*N52*N53</f>
        <v>707101308.410994</v>
      </c>
    </row>
    <row r="57" customFormat="false" ht="15" hidden="false" customHeight="false" outlineLevel="0" collapsed="false">
      <c r="B57" s="77" t="s">
        <v>303</v>
      </c>
      <c r="C57" s="75"/>
      <c r="D57" s="82" t="n">
        <f aca="false">Assumptions!$D$10*12*D52*D54</f>
        <v>0</v>
      </c>
      <c r="E57" s="82" t="n">
        <f aca="false">Assumptions!$D$10*12*E52*E54</f>
        <v>299520000</v>
      </c>
      <c r="F57" s="82" t="n">
        <f aca="false">Assumptions!$D$10*12*F52*F54</f>
        <v>343449600</v>
      </c>
      <c r="G57" s="82" t="n">
        <f aca="false">Assumptions!$D$10*12*G52*G54</f>
        <v>373800960</v>
      </c>
      <c r="H57" s="82" t="n">
        <f aca="false">Assumptions!$D$10*12*H52*H54</f>
        <v>388752998.4</v>
      </c>
      <c r="I57" s="82" t="n">
        <f aca="false">Assumptions!$D$10*12*I52*I54</f>
        <v>404303118.336</v>
      </c>
      <c r="J57" s="82" t="n">
        <f aca="false">Assumptions!$D$10*12*J52*J54</f>
        <v>420475243.06944</v>
      </c>
      <c r="K57" s="82" t="n">
        <f aca="false">Assumptions!$D$10*12*K52*K54</f>
        <v>437294252.792218</v>
      </c>
      <c r="L57" s="82" t="n">
        <f aca="false">Assumptions!$D$10*12*L52*L54</f>
        <v>454786022.903906</v>
      </c>
      <c r="M57" s="82" t="n">
        <f aca="false">Assumptions!$D$10*12*M52*M54</f>
        <v>472977463.820063</v>
      </c>
      <c r="N57" s="82" t="n">
        <f aca="false">Assumptions!$D$10*12*N52*N54</f>
        <v>491896562.372865</v>
      </c>
    </row>
    <row r="58" customFormat="false" ht="15" hidden="false" customHeight="false" outlineLevel="0" collapsed="false">
      <c r="B58" s="77" t="s">
        <v>304</v>
      </c>
      <c r="C58" s="75"/>
      <c r="D58" s="82" t="n">
        <f aca="false">(D56+D57)*Assumptions!$C$23</f>
        <v>0</v>
      </c>
      <c r="E58" s="82" t="n">
        <f aca="false">(E56+E57)*Assumptions!$C$23</f>
        <v>14601600</v>
      </c>
      <c r="F58" s="82" t="n">
        <f aca="false">(F56+F57)*Assumptions!$C$23</f>
        <v>16743168</v>
      </c>
      <c r="G58" s="82" t="n">
        <f aca="false">(G56+G57)*Assumptions!$C$23</f>
        <v>18222796.8</v>
      </c>
      <c r="H58" s="82" t="n">
        <f aca="false">(H56+H57)*Assumptions!$C$23</f>
        <v>18951708.672</v>
      </c>
      <c r="I58" s="82" t="n">
        <f aca="false">(I56+I57)*Assumptions!$C$23</f>
        <v>19709777.01888</v>
      </c>
      <c r="J58" s="82" t="n">
        <f aca="false">(J56+J57)*Assumptions!$C$23</f>
        <v>20498168.0996352</v>
      </c>
      <c r="K58" s="82" t="n">
        <f aca="false">(K56+K57)*Assumptions!$C$23</f>
        <v>21318094.8236206</v>
      </c>
      <c r="L58" s="82" t="n">
        <f aca="false">(L56+L57)*Assumptions!$C$23</f>
        <v>22170818.6165654</v>
      </c>
      <c r="M58" s="82" t="n">
        <f aca="false">(M56+M57)*Assumptions!$C$23</f>
        <v>23057651.3612281</v>
      </c>
      <c r="N58" s="82" t="n">
        <f aca="false">(N56+N57)*Assumptions!$C$23</f>
        <v>23979957.4156772</v>
      </c>
    </row>
    <row r="59" customFormat="false" ht="15" hidden="false" customHeight="false" outlineLevel="0" collapsed="false">
      <c r="B59" s="83" t="s">
        <v>305</v>
      </c>
      <c r="C59" s="75"/>
      <c r="D59" s="84" t="n">
        <f aca="false">SUM(D56:D58)</f>
        <v>0</v>
      </c>
      <c r="E59" s="84" t="n">
        <f aca="false">SUM(E56:E58)</f>
        <v>744681600</v>
      </c>
      <c r="F59" s="84" t="n">
        <f aca="false">SUM(F56:F58)</f>
        <v>853901568</v>
      </c>
      <c r="G59" s="84" t="n">
        <f aca="false">SUM(G56:G58)</f>
        <v>929362636.8</v>
      </c>
      <c r="H59" s="84" t="n">
        <f aca="false">SUM(H56:H58)</f>
        <v>966537142.272</v>
      </c>
      <c r="I59" s="84" t="n">
        <f aca="false">SUM(I56:I58)</f>
        <v>1005198627.96288</v>
      </c>
      <c r="J59" s="84" t="n">
        <f aca="false">SUM(J56:J58)</f>
        <v>1045406573.0814</v>
      </c>
      <c r="K59" s="84" t="n">
        <f aca="false">SUM(K56:K58)</f>
        <v>1087222836.00465</v>
      </c>
      <c r="L59" s="84" t="n">
        <f aca="false">SUM(L56:L58)</f>
        <v>1130711749.44484</v>
      </c>
      <c r="M59" s="84" t="n">
        <f aca="false">SUM(M56:M58)</f>
        <v>1175940219.42263</v>
      </c>
      <c r="N59" s="84" t="n">
        <f aca="false">SUM(N56:N58)</f>
        <v>1222977828.19954</v>
      </c>
    </row>
    <row r="60" customFormat="false" ht="15" hidden="false" customHeight="false" outlineLevel="0" collapsed="false">
      <c r="B60" s="77" t="s">
        <v>306</v>
      </c>
      <c r="C60" s="75"/>
      <c r="D60" s="82" t="n">
        <f aca="false">-D59*Assumptions!$C$28</f>
        <v>-0</v>
      </c>
      <c r="E60" s="82" t="n">
        <f aca="false">-E59*Assumptions!$C$28</f>
        <v>-74468160</v>
      </c>
      <c r="F60" s="82" t="n">
        <f aca="false">-F59*Assumptions!$C$28</f>
        <v>-85390156.8</v>
      </c>
      <c r="G60" s="82" t="n">
        <f aca="false">-G59*Assumptions!$C$28</f>
        <v>-92936263.68</v>
      </c>
      <c r="H60" s="82" t="n">
        <f aca="false">-H59*Assumptions!$C$28</f>
        <v>-96653714.2272</v>
      </c>
      <c r="I60" s="82" t="n">
        <f aca="false">-I59*Assumptions!$C$28</f>
        <v>-100519862.796288</v>
      </c>
      <c r="J60" s="82" t="n">
        <f aca="false">-J59*Assumptions!$C$28</f>
        <v>-104540657.30814</v>
      </c>
      <c r="K60" s="82" t="n">
        <f aca="false">-K59*Assumptions!$C$28</f>
        <v>-108722283.600465</v>
      </c>
      <c r="L60" s="82" t="n">
        <f aca="false">-L59*Assumptions!$C$28</f>
        <v>-113071174.944484</v>
      </c>
      <c r="M60" s="82" t="n">
        <f aca="false">-M59*Assumptions!$C$28</f>
        <v>-117594021.942263</v>
      </c>
      <c r="N60" s="82" t="n">
        <f aca="false">-N59*Assumptions!$C$28</f>
        <v>-122297782.819954</v>
      </c>
    </row>
    <row r="61" customFormat="false" ht="15" hidden="false" customHeight="false" outlineLevel="0" collapsed="false">
      <c r="B61" s="77" t="s">
        <v>114</v>
      </c>
      <c r="C61" s="75"/>
      <c r="D61" s="82" t="n">
        <f aca="false">-D59*Assumptions!$C$29</f>
        <v>-0</v>
      </c>
      <c r="E61" s="82" t="n">
        <f aca="false">-E59*Assumptions!$C$29</f>
        <v>-29787264</v>
      </c>
      <c r="F61" s="82" t="n">
        <f aca="false">-F59*Assumptions!$C$29</f>
        <v>-34156062.72</v>
      </c>
      <c r="G61" s="82" t="n">
        <f aca="false">-G59*Assumptions!$C$29</f>
        <v>-37174505.472</v>
      </c>
      <c r="H61" s="82" t="n">
        <f aca="false">-H59*Assumptions!$C$29</f>
        <v>-38661485.69088</v>
      </c>
      <c r="I61" s="82" t="n">
        <f aca="false">-I59*Assumptions!$C$29</f>
        <v>-40207945.1185152</v>
      </c>
      <c r="J61" s="82" t="n">
        <f aca="false">-J59*Assumptions!$C$29</f>
        <v>-41816262.9232558</v>
      </c>
      <c r="K61" s="82" t="n">
        <f aca="false">-K59*Assumptions!$C$29</f>
        <v>-43488913.4401861</v>
      </c>
      <c r="L61" s="82" t="n">
        <f aca="false">-L59*Assumptions!$C$29</f>
        <v>-45228469.9777935</v>
      </c>
      <c r="M61" s="82" t="n">
        <f aca="false">-M59*Assumptions!$C$29</f>
        <v>-47037608.7769052</v>
      </c>
      <c r="N61" s="82" t="n">
        <f aca="false">-N59*Assumptions!$C$29</f>
        <v>-48919113.1279815</v>
      </c>
    </row>
    <row r="62" customFormat="false" ht="15" hidden="false" customHeight="false" outlineLevel="0" collapsed="false">
      <c r="B62" s="77" t="s">
        <v>118</v>
      </c>
      <c r="C62" s="75"/>
      <c r="D62" s="82" t="n">
        <f aca="false">-D59*Assumptions!$C$31</f>
        <v>-0</v>
      </c>
      <c r="E62" s="82" t="n">
        <f aca="false">-E59*Assumptions!$C$31</f>
        <v>-59574528</v>
      </c>
      <c r="F62" s="82" t="n">
        <f aca="false">-F59*Assumptions!$C$31</f>
        <v>-68312125.44</v>
      </c>
      <c r="G62" s="82" t="n">
        <f aca="false">-G59*Assumptions!$C$31</f>
        <v>-74349010.944</v>
      </c>
      <c r="H62" s="82" t="n">
        <f aca="false">-H59*Assumptions!$C$31</f>
        <v>-77322971.38176</v>
      </c>
      <c r="I62" s="82" t="n">
        <f aca="false">-I59*Assumptions!$C$31</f>
        <v>-80415890.2370304</v>
      </c>
      <c r="J62" s="82" t="n">
        <f aca="false">-J59*Assumptions!$C$31</f>
        <v>-83632525.8465116</v>
      </c>
      <c r="K62" s="82" t="n">
        <f aca="false">-K59*Assumptions!$C$31</f>
        <v>-86977826.8803721</v>
      </c>
      <c r="L62" s="82" t="n">
        <f aca="false">-L59*Assumptions!$C$31</f>
        <v>-90456939.955587</v>
      </c>
      <c r="M62" s="82" t="n">
        <f aca="false">-M59*Assumptions!$C$31</f>
        <v>-94075217.5538105</v>
      </c>
      <c r="N62" s="82" t="n">
        <f aca="false">-N59*Assumptions!$C$31</f>
        <v>-97838226.2559629</v>
      </c>
    </row>
    <row r="63" customFormat="false" ht="15" hidden="false" customHeight="false" outlineLevel="0" collapsed="false">
      <c r="B63" s="77" t="s">
        <v>116</v>
      </c>
      <c r="C63" s="75"/>
      <c r="D63" s="82" t="n">
        <f aca="false">-D59*Assumptions!$C$30</f>
        <v>-0</v>
      </c>
      <c r="E63" s="82" t="n">
        <f aca="false">-E59*Assumptions!$C$30</f>
        <v>-22340448</v>
      </c>
      <c r="F63" s="82" t="n">
        <f aca="false">-F59*Assumptions!$C$30</f>
        <v>-25617047.04</v>
      </c>
      <c r="G63" s="82" t="n">
        <f aca="false">-G59*Assumptions!$C$30</f>
        <v>-27880879.104</v>
      </c>
      <c r="H63" s="82" t="n">
        <f aca="false">-H59*Assumptions!$C$30</f>
        <v>-28996114.26816</v>
      </c>
      <c r="I63" s="82" t="n">
        <f aca="false">-I59*Assumptions!$C$30</f>
        <v>-30155958.8388864</v>
      </c>
      <c r="J63" s="82" t="n">
        <f aca="false">-J59*Assumptions!$C$30</f>
        <v>-31362197.1924419</v>
      </c>
      <c r="K63" s="82" t="n">
        <f aca="false">-K59*Assumptions!$C$30</f>
        <v>-32616685.0801395</v>
      </c>
      <c r="L63" s="82" t="n">
        <f aca="false">-L59*Assumptions!$C$30</f>
        <v>-33921352.4833451</v>
      </c>
      <c r="M63" s="82" t="n">
        <f aca="false">-M59*Assumptions!$C$30</f>
        <v>-35278206.5826789</v>
      </c>
      <c r="N63" s="82" t="n">
        <f aca="false">-N59*Assumptions!$C$30</f>
        <v>-36689334.8459861</v>
      </c>
    </row>
    <row r="64" customFormat="false" ht="15" hidden="false" customHeight="false" outlineLevel="0" collapsed="false">
      <c r="B64" s="77" t="s">
        <v>123</v>
      </c>
      <c r="C64" s="75"/>
      <c r="D64" s="82" t="n">
        <f aca="false">-D55*Assumptions!$C$34*(1+Assumptions!$C$45)^MAX(0,D$51-1)</f>
        <v>-0</v>
      </c>
      <c r="E64" s="82" t="n">
        <f aca="false">-E55*Assumptions!$C$34*(1+Assumptions!$C$45)^MAX(0,E$51-1)</f>
        <v>-26208000</v>
      </c>
      <c r="F64" s="82" t="n">
        <f aca="false">-F55*Assumptions!$C$34*(1+Assumptions!$C$45)^MAX(0,F$51-1)</f>
        <v>-30196320</v>
      </c>
      <c r="G64" s="82" t="n">
        <f aca="false">-G55*Assumptions!$C$34*(1+Assumptions!$C$45)^MAX(0,G$51-1)</f>
        <v>-33022836</v>
      </c>
      <c r="H64" s="82" t="n">
        <f aca="false">-H55*Assumptions!$C$34*(1+Assumptions!$C$45)^MAX(0,H$51-1)</f>
        <v>-34508863.62</v>
      </c>
      <c r="I64" s="82" t="n">
        <f aca="false">-I55*Assumptions!$C$34*(1+Assumptions!$C$45)^MAX(0,I$51-1)</f>
        <v>-36061762.4829</v>
      </c>
      <c r="J64" s="82" t="n">
        <f aca="false">-J55*Assumptions!$C$34*(1+Assumptions!$C$45)^MAX(0,J$51-1)</f>
        <v>-37684541.7946305</v>
      </c>
      <c r="K64" s="82" t="n">
        <f aca="false">-K55*Assumptions!$C$34*(1+Assumptions!$C$45)^MAX(0,K$51-1)</f>
        <v>-39380346.1753889</v>
      </c>
      <c r="L64" s="82" t="n">
        <f aca="false">-L55*Assumptions!$C$34*(1+Assumptions!$C$45)^MAX(0,L$51-1)</f>
        <v>-41152461.7532814</v>
      </c>
      <c r="M64" s="82" t="n">
        <f aca="false">-M55*Assumptions!$C$34*(1+Assumptions!$C$45)^MAX(0,M$51-1)</f>
        <v>-43004322.532179</v>
      </c>
      <c r="N64" s="82" t="n">
        <f aca="false">-N55*Assumptions!$C$34*(1+Assumptions!$C$45)^MAX(0,N$51-1)</f>
        <v>-44939517.0461271</v>
      </c>
    </row>
    <row r="65" customFormat="false" ht="15" hidden="false" customHeight="false" outlineLevel="0" collapsed="false">
      <c r="B65" s="77" t="s">
        <v>307</v>
      </c>
      <c r="C65" s="75"/>
      <c r="D65" s="82" t="n">
        <f aca="false">-D55*Assumptions!$C$35*(1+Assumptions!$C$45)^MAX(0,D$51-1)</f>
        <v>-0</v>
      </c>
      <c r="E65" s="82" t="n">
        <f aca="false">-E55*Assumptions!$C$35*(1+Assumptions!$C$45)^MAX(0,E$51-1)</f>
        <v>-8985600</v>
      </c>
      <c r="F65" s="82" t="n">
        <f aca="false">-F55*Assumptions!$C$35*(1+Assumptions!$C$45)^MAX(0,F$51-1)</f>
        <v>-10353024</v>
      </c>
      <c r="G65" s="82" t="n">
        <f aca="false">-G55*Assumptions!$C$35*(1+Assumptions!$C$45)^MAX(0,G$51-1)</f>
        <v>-11322115.2</v>
      </c>
      <c r="H65" s="82" t="n">
        <f aca="false">-H55*Assumptions!$C$35*(1+Assumptions!$C$45)^MAX(0,H$51-1)</f>
        <v>-11831610.384</v>
      </c>
      <c r="I65" s="82" t="n">
        <f aca="false">-I55*Assumptions!$C$35*(1+Assumptions!$C$45)^MAX(0,I$51-1)</f>
        <v>-12364032.85128</v>
      </c>
      <c r="J65" s="82" t="n">
        <f aca="false">-J55*Assumptions!$C$35*(1+Assumptions!$C$45)^MAX(0,J$51-1)</f>
        <v>-12920414.3295876</v>
      </c>
      <c r="K65" s="82" t="n">
        <f aca="false">-K55*Assumptions!$C$35*(1+Assumptions!$C$45)^MAX(0,K$51-1)</f>
        <v>-13501832.974419</v>
      </c>
      <c r="L65" s="82" t="n">
        <f aca="false">-L55*Assumptions!$C$35*(1+Assumptions!$C$45)^MAX(0,L$51-1)</f>
        <v>-14109415.4582679</v>
      </c>
      <c r="M65" s="82" t="n">
        <f aca="false">-M55*Assumptions!$C$35*(1+Assumptions!$C$45)^MAX(0,M$51-1)</f>
        <v>-14744339.1538899</v>
      </c>
      <c r="N65" s="82" t="n">
        <f aca="false">-N55*Assumptions!$C$35*(1+Assumptions!$C$45)^MAX(0,N$51-1)</f>
        <v>-15407834.415815</v>
      </c>
    </row>
    <row r="66" customFormat="false" ht="15" hidden="false" customHeight="false" outlineLevel="0" collapsed="false">
      <c r="B66" s="77" t="s">
        <v>128</v>
      </c>
      <c r="C66" s="75"/>
      <c r="D66" s="82" t="n">
        <f aca="false">-Assumptions!$D$12*12*Assumptions!$C$36*(1+Assumptions!$C$45)^MAX(0,D$51-1)*(D$51&gt;0)</f>
        <v>-0</v>
      </c>
      <c r="E66" s="82" t="n">
        <f aca="false">-Assumptions!$D$12*12*Assumptions!$C$36*(1+Assumptions!$C$45)^MAX(0,E$51-1)*(E$51&gt;0)</f>
        <v>-14400000</v>
      </c>
      <c r="F66" s="82" t="n">
        <f aca="false">-Assumptions!$D$12*12*Assumptions!$C$36*(1+Assumptions!$C$45)^MAX(0,F$51-1)*(F$51&gt;0)</f>
        <v>-15048000</v>
      </c>
      <c r="G66" s="82" t="n">
        <f aca="false">-Assumptions!$D$12*12*Assumptions!$C$36*(1+Assumptions!$C$45)^MAX(0,G$51-1)*(G$51&gt;0)</f>
        <v>-15725160</v>
      </c>
      <c r="H66" s="82" t="n">
        <f aca="false">-Assumptions!$D$12*12*Assumptions!$C$36*(1+Assumptions!$C$45)^MAX(0,H$51-1)*(H$51&gt;0)</f>
        <v>-16432792.2</v>
      </c>
      <c r="I66" s="82" t="n">
        <f aca="false">-Assumptions!$D$12*12*Assumptions!$C$36*(1+Assumptions!$C$45)^MAX(0,I$51-1)*(I$51&gt;0)</f>
        <v>-17172267.849</v>
      </c>
      <c r="J66" s="82" t="n">
        <f aca="false">-Assumptions!$D$12*12*Assumptions!$C$36*(1+Assumptions!$C$45)^MAX(0,J$51-1)*(J$51&gt;0)</f>
        <v>-17945019.902205</v>
      </c>
      <c r="K66" s="82" t="n">
        <f aca="false">-Assumptions!$D$12*12*Assumptions!$C$36*(1+Assumptions!$C$45)^MAX(0,K$51-1)*(K$51&gt;0)</f>
        <v>-18752545.7978042</v>
      </c>
      <c r="L66" s="82" t="n">
        <f aca="false">-Assumptions!$D$12*12*Assumptions!$C$36*(1+Assumptions!$C$45)^MAX(0,L$51-1)*(L$51&gt;0)</f>
        <v>-19596410.3587054</v>
      </c>
      <c r="M66" s="82" t="n">
        <f aca="false">-Assumptions!$D$12*12*Assumptions!$C$36*(1+Assumptions!$C$45)^MAX(0,M$51-1)*(M$51&gt;0)</f>
        <v>-20478248.8248471</v>
      </c>
      <c r="N66" s="82" t="n">
        <f aca="false">-Assumptions!$D$12*12*Assumptions!$C$36*(1+Assumptions!$C$45)^MAX(0,N$51-1)*(N$51&gt;0)</f>
        <v>-21399770.0219653</v>
      </c>
    </row>
    <row r="67" customFormat="false" ht="15" hidden="false" customHeight="false" outlineLevel="0" collapsed="false">
      <c r="B67" s="77" t="s">
        <v>308</v>
      </c>
      <c r="C67" s="75"/>
      <c r="D67" s="82" t="n">
        <f aca="false">-12*Assumptions!$C$38*(1+Assumptions!$C$45)^MAX(0,D$51-1)*(D$51&gt;0)</f>
        <v>-0</v>
      </c>
      <c r="E67" s="82" t="n">
        <f aca="false">-12*Assumptions!$C$38*(1+Assumptions!$C$45)^MAX(0,E$51-1)*(E$51&gt;0)</f>
        <v>-72000000</v>
      </c>
      <c r="F67" s="82" t="n">
        <f aca="false">-12*Assumptions!$C$38*(1+Assumptions!$C$45)^MAX(0,F$51-1)*(F$51&gt;0)</f>
        <v>-75240000</v>
      </c>
      <c r="G67" s="82" t="n">
        <f aca="false">-12*Assumptions!$C$38*(1+Assumptions!$C$45)^MAX(0,G$51-1)*(G$51&gt;0)</f>
        <v>-78625800</v>
      </c>
      <c r="H67" s="82" t="n">
        <f aca="false">-12*Assumptions!$C$38*(1+Assumptions!$C$45)^MAX(0,H$51-1)*(H$51&gt;0)</f>
        <v>-82163961</v>
      </c>
      <c r="I67" s="82" t="n">
        <f aca="false">-12*Assumptions!$C$38*(1+Assumptions!$C$45)^MAX(0,I$51-1)*(I$51&gt;0)</f>
        <v>-85861339.245</v>
      </c>
      <c r="J67" s="82" t="n">
        <f aca="false">-12*Assumptions!$C$38*(1+Assumptions!$C$45)^MAX(0,J$51-1)*(J$51&gt;0)</f>
        <v>-89725099.511025</v>
      </c>
      <c r="K67" s="82" t="n">
        <f aca="false">-12*Assumptions!$C$38*(1+Assumptions!$C$45)^MAX(0,K$51-1)*(K$51&gt;0)</f>
        <v>-93762728.9890211</v>
      </c>
      <c r="L67" s="82" t="n">
        <f aca="false">-12*Assumptions!$C$38*(1+Assumptions!$C$45)^MAX(0,L$51-1)*(L$51&gt;0)</f>
        <v>-97982051.793527</v>
      </c>
      <c r="M67" s="82" t="n">
        <f aca="false">-12*Assumptions!$C$38*(1+Assumptions!$C$45)^MAX(0,M$51-1)*(M$51&gt;0)</f>
        <v>-102391244.124236</v>
      </c>
      <c r="N67" s="82" t="n">
        <f aca="false">-12*Assumptions!$C$38*(1+Assumptions!$C$45)^MAX(0,N$51-1)*(N$51&gt;0)</f>
        <v>-106998850.109826</v>
      </c>
    </row>
    <row r="68" customFormat="false" ht="15" hidden="false" customHeight="false" outlineLevel="0" collapsed="false">
      <c r="B68" s="77" t="s">
        <v>134</v>
      </c>
      <c r="C68" s="75"/>
      <c r="D68" s="82" t="n">
        <f aca="false">-12*Assumptions!$C$39*(1+Assumptions!$C$45)^MAX(0,D$51-1)*(D$51&gt;0)</f>
        <v>-0</v>
      </c>
      <c r="E68" s="82" t="n">
        <f aca="false">-12*Assumptions!$C$39*(1+Assumptions!$C$45)^MAX(0,E$51-1)*(E$51&gt;0)</f>
        <v>-38400000</v>
      </c>
      <c r="F68" s="82" t="n">
        <f aca="false">-12*Assumptions!$C$39*(1+Assumptions!$C$45)^MAX(0,F$51-1)*(F$51&gt;0)</f>
        <v>-40128000</v>
      </c>
      <c r="G68" s="82" t="n">
        <f aca="false">-12*Assumptions!$C$39*(1+Assumptions!$C$45)^MAX(0,G$51-1)*(G$51&gt;0)</f>
        <v>-41933760</v>
      </c>
      <c r="H68" s="82" t="n">
        <f aca="false">-12*Assumptions!$C$39*(1+Assumptions!$C$45)^MAX(0,H$51-1)*(H$51&gt;0)</f>
        <v>-43820779.2</v>
      </c>
      <c r="I68" s="82" t="n">
        <f aca="false">-12*Assumptions!$C$39*(1+Assumptions!$C$45)^MAX(0,I$51-1)*(I$51&gt;0)</f>
        <v>-45792714.264</v>
      </c>
      <c r="J68" s="82" t="n">
        <f aca="false">-12*Assumptions!$C$39*(1+Assumptions!$C$45)^MAX(0,J$51-1)*(J$51&gt;0)</f>
        <v>-47853386.40588</v>
      </c>
      <c r="K68" s="82" t="n">
        <f aca="false">-12*Assumptions!$C$39*(1+Assumptions!$C$45)^MAX(0,K$51-1)*(K$51&gt;0)</f>
        <v>-50006788.7941446</v>
      </c>
      <c r="L68" s="82" t="n">
        <f aca="false">-12*Assumptions!$C$39*(1+Assumptions!$C$45)^MAX(0,L$51-1)*(L$51&gt;0)</f>
        <v>-52257094.2898811</v>
      </c>
      <c r="M68" s="82" t="n">
        <f aca="false">-12*Assumptions!$C$39*(1+Assumptions!$C$45)^MAX(0,M$51-1)*(M$51&gt;0)</f>
        <v>-54608663.5329257</v>
      </c>
      <c r="N68" s="82" t="n">
        <f aca="false">-12*Assumptions!$C$39*(1+Assumptions!$C$45)^MAX(0,N$51-1)*(N$51&gt;0)</f>
        <v>-57066053.3919074</v>
      </c>
    </row>
    <row r="69" customFormat="false" ht="15" hidden="false" customHeight="false" outlineLevel="0" collapsed="false">
      <c r="B69" s="77" t="s">
        <v>309</v>
      </c>
      <c r="C69" s="75"/>
      <c r="D69" s="82" t="n">
        <f aca="false">-12*(Assumptions!$C$40+Assumptions!$C$41)*(1+Assumptions!$C$45)^MAX(0,D$51-1)*(D$51&gt;0)</f>
        <v>-0</v>
      </c>
      <c r="E69" s="82" t="n">
        <f aca="false">-12*(Assumptions!$C$40+Assumptions!$C$41)*(1+Assumptions!$C$45)^MAX(0,E$51-1)*(E$51&gt;0)</f>
        <v>-28200000</v>
      </c>
      <c r="F69" s="82" t="n">
        <f aca="false">-12*(Assumptions!$C$40+Assumptions!$C$41)*(1+Assumptions!$C$45)^MAX(0,F$51-1)*(F$51&gt;0)</f>
        <v>-29469000</v>
      </c>
      <c r="G69" s="82" t="n">
        <f aca="false">-12*(Assumptions!$C$40+Assumptions!$C$41)*(1+Assumptions!$C$45)^MAX(0,G$51-1)*(G$51&gt;0)</f>
        <v>-30795105</v>
      </c>
      <c r="H69" s="82" t="n">
        <f aca="false">-12*(Assumptions!$C$40+Assumptions!$C$41)*(1+Assumptions!$C$45)^MAX(0,H$51-1)*(H$51&gt;0)</f>
        <v>-32180884.725</v>
      </c>
      <c r="I69" s="82" t="n">
        <f aca="false">-12*(Assumptions!$C$40+Assumptions!$C$41)*(1+Assumptions!$C$45)^MAX(0,I$51-1)*(I$51&gt;0)</f>
        <v>-33629024.537625</v>
      </c>
      <c r="J69" s="82" t="n">
        <f aca="false">-12*(Assumptions!$C$40+Assumptions!$C$41)*(1+Assumptions!$C$45)^MAX(0,J$51-1)*(J$51&gt;0)</f>
        <v>-35142330.6418181</v>
      </c>
      <c r="K69" s="82" t="n">
        <f aca="false">-12*(Assumptions!$C$40+Assumptions!$C$41)*(1+Assumptions!$C$45)^MAX(0,K$51-1)*(K$51&gt;0)</f>
        <v>-36723735.5206999</v>
      </c>
      <c r="L69" s="82" t="n">
        <f aca="false">-12*(Assumptions!$C$40+Assumptions!$C$41)*(1+Assumptions!$C$45)^MAX(0,L$51-1)*(L$51&gt;0)</f>
        <v>-38376303.6191314</v>
      </c>
      <c r="M69" s="82" t="n">
        <f aca="false">-12*(Assumptions!$C$40+Assumptions!$C$41)*(1+Assumptions!$C$45)^MAX(0,M$51-1)*(M$51&gt;0)</f>
        <v>-40103237.2819923</v>
      </c>
      <c r="N69" s="82" t="n">
        <f aca="false">-12*(Assumptions!$C$40+Assumptions!$C$41)*(1+Assumptions!$C$45)^MAX(0,N$51-1)*(N$51&gt;0)</f>
        <v>-41907882.959682</v>
      </c>
    </row>
    <row r="70" customFormat="false" ht="15" hidden="false" customHeight="false" outlineLevel="0" collapsed="false">
      <c r="B70" s="77" t="s">
        <v>310</v>
      </c>
      <c r="C70" s="75"/>
      <c r="D70" s="82" t="n">
        <f aca="false">-12*Assumptions!$C$42*(1+Assumptions!$C$45)^MAX(0,D$51-1)*(D$51&gt;0)</f>
        <v>-0</v>
      </c>
      <c r="E70" s="82" t="n">
        <f aca="false">-12*Assumptions!$C$42*(1+Assumptions!$C$45)^MAX(0,E$51-1)*(E$51&gt;0)</f>
        <v>-18000000</v>
      </c>
      <c r="F70" s="82" t="n">
        <f aca="false">-12*Assumptions!$C$42*(1+Assumptions!$C$45)^MAX(0,F$51-1)*(F$51&gt;0)</f>
        <v>-18810000</v>
      </c>
      <c r="G70" s="82" t="n">
        <f aca="false">-12*Assumptions!$C$42*(1+Assumptions!$C$45)^MAX(0,G$51-1)*(G$51&gt;0)</f>
        <v>-19656450</v>
      </c>
      <c r="H70" s="82" t="n">
        <f aca="false">-12*Assumptions!$C$42*(1+Assumptions!$C$45)^MAX(0,H$51-1)*(H$51&gt;0)</f>
        <v>-20540990.25</v>
      </c>
      <c r="I70" s="82" t="n">
        <f aca="false">-12*Assumptions!$C$42*(1+Assumptions!$C$45)^MAX(0,I$51-1)*(I$51&gt;0)</f>
        <v>-21465334.81125</v>
      </c>
      <c r="J70" s="82" t="n">
        <f aca="false">-12*Assumptions!$C$42*(1+Assumptions!$C$45)^MAX(0,J$51-1)*(J$51&gt;0)</f>
        <v>-22431274.8777562</v>
      </c>
      <c r="K70" s="82" t="n">
        <f aca="false">-12*Assumptions!$C$42*(1+Assumptions!$C$45)^MAX(0,K$51-1)*(K$51&gt;0)</f>
        <v>-23440682.2472553</v>
      </c>
      <c r="L70" s="82" t="n">
        <f aca="false">-12*Assumptions!$C$42*(1+Assumptions!$C$45)^MAX(0,L$51-1)*(L$51&gt;0)</f>
        <v>-24495512.9483818</v>
      </c>
      <c r="M70" s="82" t="n">
        <f aca="false">-12*Assumptions!$C$42*(1+Assumptions!$C$45)^MAX(0,M$51-1)*(M$51&gt;0)</f>
        <v>-25597811.0310589</v>
      </c>
      <c r="N70" s="82" t="n">
        <f aca="false">-12*Assumptions!$C$42*(1+Assumptions!$C$45)^MAX(0,N$51-1)*(N$51&gt;0)</f>
        <v>-26749712.5274566</v>
      </c>
    </row>
    <row r="71" customFormat="false" ht="15" hidden="false" customHeight="false" outlineLevel="0" collapsed="false">
      <c r="B71" s="77" t="s">
        <v>140</v>
      </c>
      <c r="C71" s="75"/>
      <c r="D71" s="82" t="n">
        <f aca="false">-12*Assumptions!$C$43*(1+Assumptions!$C$45)^MAX(0,D$51-1)*(D$51&gt;0)</f>
        <v>-0</v>
      </c>
      <c r="E71" s="82" t="n">
        <f aca="false">-12*Assumptions!$C$43*(1+Assumptions!$C$45)^MAX(0,E$51-1)*(E$51&gt;0)</f>
        <v>-14400000</v>
      </c>
      <c r="F71" s="82" t="n">
        <f aca="false">-12*Assumptions!$C$43*(1+Assumptions!$C$45)^MAX(0,F$51-1)*(F$51&gt;0)</f>
        <v>-15048000</v>
      </c>
      <c r="G71" s="82" t="n">
        <f aca="false">-12*Assumptions!$C$43*(1+Assumptions!$C$45)^MAX(0,G$51-1)*(G$51&gt;0)</f>
        <v>-15725160</v>
      </c>
      <c r="H71" s="82" t="n">
        <f aca="false">-12*Assumptions!$C$43*(1+Assumptions!$C$45)^MAX(0,H$51-1)*(H$51&gt;0)</f>
        <v>-16432792.2</v>
      </c>
      <c r="I71" s="82" t="n">
        <f aca="false">-12*Assumptions!$C$43*(1+Assumptions!$C$45)^MAX(0,I$51-1)*(I$51&gt;0)</f>
        <v>-17172267.849</v>
      </c>
      <c r="J71" s="82" t="n">
        <f aca="false">-12*Assumptions!$C$43*(1+Assumptions!$C$45)^MAX(0,J$51-1)*(J$51&gt;0)</f>
        <v>-17945019.902205</v>
      </c>
      <c r="K71" s="82" t="n">
        <f aca="false">-12*Assumptions!$C$43*(1+Assumptions!$C$45)^MAX(0,K$51-1)*(K$51&gt;0)</f>
        <v>-18752545.7978042</v>
      </c>
      <c r="L71" s="82" t="n">
        <f aca="false">-12*Assumptions!$C$43*(1+Assumptions!$C$45)^MAX(0,L$51-1)*(L$51&gt;0)</f>
        <v>-19596410.3587054</v>
      </c>
      <c r="M71" s="82" t="n">
        <f aca="false">-12*Assumptions!$C$43*(1+Assumptions!$C$45)^MAX(0,M$51-1)*(M$51&gt;0)</f>
        <v>-20478248.8248471</v>
      </c>
      <c r="N71" s="82" t="n">
        <f aca="false">-12*Assumptions!$C$43*(1+Assumptions!$C$45)^MAX(0,N$51-1)*(N$51&gt;0)</f>
        <v>-21399770.0219653</v>
      </c>
    </row>
    <row r="72" customFormat="false" ht="15" hidden="false" customHeight="false" outlineLevel="0" collapsed="false">
      <c r="B72" s="77" t="s">
        <v>311</v>
      </c>
      <c r="C72" s="75"/>
      <c r="D72" s="82" t="n">
        <f aca="false">-Assumptions!$C$44*(1+Assumptions!$C$45)^MAX(0,D$51-1)*(D$51&gt;0)</f>
        <v>-0</v>
      </c>
      <c r="E72" s="82" t="n">
        <f aca="false">-Assumptions!$C$44*(1+Assumptions!$C$45)^MAX(0,E$51-1)*(E$51&gt;0)</f>
        <v>-13000000</v>
      </c>
      <c r="F72" s="82" t="n">
        <f aca="false">-Assumptions!$C$44*(1+Assumptions!$C$45)^MAX(0,F$51-1)*(F$51&gt;0)</f>
        <v>-13585000</v>
      </c>
      <c r="G72" s="82" t="n">
        <f aca="false">-Assumptions!$C$44*(1+Assumptions!$C$45)^MAX(0,G$51-1)*(G$51&gt;0)</f>
        <v>-14196325</v>
      </c>
      <c r="H72" s="82" t="n">
        <f aca="false">-Assumptions!$C$44*(1+Assumptions!$C$45)^MAX(0,H$51-1)*(H$51&gt;0)</f>
        <v>-14835159.625</v>
      </c>
      <c r="I72" s="82" t="n">
        <f aca="false">-Assumptions!$C$44*(1+Assumptions!$C$45)^MAX(0,I$51-1)*(I$51&gt;0)</f>
        <v>-15502741.808125</v>
      </c>
      <c r="J72" s="82" t="n">
        <f aca="false">-Assumptions!$C$44*(1+Assumptions!$C$45)^MAX(0,J$51-1)*(J$51&gt;0)</f>
        <v>-16200365.1894906</v>
      </c>
      <c r="K72" s="82" t="n">
        <f aca="false">-Assumptions!$C$44*(1+Assumptions!$C$45)^MAX(0,K$51-1)*(K$51&gt;0)</f>
        <v>-16929381.6230177</v>
      </c>
      <c r="L72" s="82" t="n">
        <f aca="false">-Assumptions!$C$44*(1+Assumptions!$C$45)^MAX(0,L$51-1)*(L$51&gt;0)</f>
        <v>-17691203.7960535</v>
      </c>
      <c r="M72" s="82" t="n">
        <f aca="false">-Assumptions!$C$44*(1+Assumptions!$C$45)^MAX(0,M$51-1)*(M$51&gt;0)</f>
        <v>-18487307.9668759</v>
      </c>
      <c r="N72" s="82" t="n">
        <f aca="false">-Assumptions!$C$44*(1+Assumptions!$C$45)^MAX(0,N$51-1)*(N$51&gt;0)</f>
        <v>-19319236.8253853</v>
      </c>
    </row>
    <row r="73" customFormat="false" ht="15" hidden="false" customHeight="false" outlineLevel="0" collapsed="false">
      <c r="B73" s="83" t="s">
        <v>312</v>
      </c>
      <c r="C73" s="75"/>
      <c r="D73" s="84" t="n">
        <f aca="false">SUM(D60:D72)</f>
        <v>0</v>
      </c>
      <c r="E73" s="84" t="n">
        <f aca="false">SUM(E60:E72)</f>
        <v>-419764000</v>
      </c>
      <c r="F73" s="84" t="n">
        <f aca="false">SUM(F60:F72)</f>
        <v>-461352736</v>
      </c>
      <c r="G73" s="84" t="n">
        <f aca="false">SUM(G60:G72)</f>
        <v>-493343370.4</v>
      </c>
      <c r="H73" s="84" t="n">
        <f aca="false">SUM(H60:H72)</f>
        <v>-514382118.772</v>
      </c>
      <c r="I73" s="84" t="n">
        <f aca="false">SUM(I60:I72)</f>
        <v>-536321142.6889</v>
      </c>
      <c r="J73" s="84" t="n">
        <f aca="false">SUM(J60:J72)</f>
        <v>-559199095.824947</v>
      </c>
      <c r="K73" s="84" t="n">
        <f aca="false">SUM(K60:K72)</f>
        <v>-583056296.920718</v>
      </c>
      <c r="L73" s="84" t="n">
        <f aca="false">SUM(L60:L72)</f>
        <v>-607934801.737144</v>
      </c>
      <c r="M73" s="84" t="n">
        <f aca="false">SUM(M60:M72)</f>
        <v>-633878478.12851</v>
      </c>
      <c r="N73" s="84" t="n">
        <f aca="false">SUM(N60:N72)</f>
        <v>-660933084.370014</v>
      </c>
    </row>
    <row r="74" customFormat="false" ht="15" hidden="false" customHeight="false" outlineLevel="0" collapsed="false">
      <c r="B74" s="33" t="s">
        <v>313</v>
      </c>
      <c r="C74" s="75"/>
      <c r="D74" s="85" t="n">
        <f aca="false">D59+D73</f>
        <v>0</v>
      </c>
      <c r="E74" s="85" t="n">
        <f aca="false">E59+E73</f>
        <v>324917600</v>
      </c>
      <c r="F74" s="85" t="n">
        <f aca="false">F59+F73</f>
        <v>392548832</v>
      </c>
      <c r="G74" s="85" t="n">
        <f aca="false">G59+G73</f>
        <v>436019266.4</v>
      </c>
      <c r="H74" s="85" t="n">
        <f aca="false">H59+H73</f>
        <v>452155023.5</v>
      </c>
      <c r="I74" s="85" t="n">
        <f aca="false">I59+I73</f>
        <v>468877485.27398</v>
      </c>
      <c r="J74" s="85" t="n">
        <f aca="false">J59+J73</f>
        <v>486207477.256448</v>
      </c>
      <c r="K74" s="85" t="n">
        <f aca="false">K59+K73</f>
        <v>504166539.083934</v>
      </c>
      <c r="L74" s="85" t="n">
        <f aca="false">L59+L73</f>
        <v>522776947.707693</v>
      </c>
      <c r="M74" s="85" t="n">
        <f aca="false">M59+M73</f>
        <v>542061741.294121</v>
      </c>
      <c r="N74" s="85" t="n">
        <f aca="false">N59+N73</f>
        <v>562044743.829522</v>
      </c>
    </row>
    <row r="75" customFormat="false" ht="15" hidden="false" customHeight="false" outlineLevel="0" collapsed="false">
      <c r="B75" s="79" t="s">
        <v>314</v>
      </c>
      <c r="C75" s="75" t="s">
        <v>97</v>
      </c>
      <c r="D75" s="86" t="n">
        <f aca="false">IF(D59=0,0,D74/D59)</f>
        <v>0</v>
      </c>
      <c r="E75" s="86" t="n">
        <f aca="false">IF(E59=0,0,E74/E59)</f>
        <v>0.436317481189276</v>
      </c>
      <c r="F75" s="86" t="n">
        <f aca="false">IF(F59=0,0,F74/F59)</f>
        <v>0.459712040252396</v>
      </c>
      <c r="G75" s="86" t="n">
        <f aca="false">IF(G59=0,0,G74/G59)</f>
        <v>0.469159453086376</v>
      </c>
      <c r="H75" s="86" t="n">
        <f aca="false">IF(H59=0,0,H74/H59)</f>
        <v>0.467809258149291</v>
      </c>
      <c r="I75" s="86" t="n">
        <f aca="false">IF(I59=0,0,I74/I59)</f>
        <v>0.466452571890393</v>
      </c>
      <c r="J75" s="86" t="n">
        <f aca="false">IF(J59=0,0,J74/J59)</f>
        <v>0.465089363101405</v>
      </c>
      <c r="K75" s="86" t="n">
        <f aca="false">IF(K59=0,0,K74/K59)</f>
        <v>0.463719600424008</v>
      </c>
      <c r="L75" s="86" t="n">
        <f aca="false">IF(L59=0,0,L74/L59)</f>
        <v>0.462343252349123</v>
      </c>
      <c r="M75" s="86" t="n">
        <f aca="false">IF(M59=0,0,M74/M59)</f>
        <v>0.460960287216186</v>
      </c>
      <c r="N75" s="86" t="n">
        <f aca="false">IF(N59=0,0,N74/N59)</f>
        <v>0.459570673212418</v>
      </c>
    </row>
    <row r="77" customFormat="false" ht="15" hidden="false" customHeight="false" outlineLevel="0" collapsed="false">
      <c r="B77" s="77" t="s">
        <v>315</v>
      </c>
      <c r="C77" s="75"/>
      <c r="D77" s="82" t="n">
        <f aca="false">-D59*Assumptions!$C$32</f>
        <v>-0</v>
      </c>
      <c r="E77" s="82" t="n">
        <f aca="false">-E59*Assumptions!$C$32</f>
        <v>-22340448</v>
      </c>
      <c r="F77" s="82" t="n">
        <f aca="false">-F59*Assumptions!$C$32</f>
        <v>-25617047.04</v>
      </c>
      <c r="G77" s="82" t="n">
        <f aca="false">-G59*Assumptions!$C$32</f>
        <v>-27880879.104</v>
      </c>
      <c r="H77" s="82" t="n">
        <f aca="false">-H59*Assumptions!$C$32</f>
        <v>-28996114.26816</v>
      </c>
      <c r="I77" s="82" t="n">
        <f aca="false">-I59*Assumptions!$C$32</f>
        <v>-30155958.8388864</v>
      </c>
      <c r="J77" s="82" t="n">
        <f aca="false">-J59*Assumptions!$C$32</f>
        <v>-31362197.1924419</v>
      </c>
      <c r="K77" s="82" t="n">
        <f aca="false">-K59*Assumptions!$C$32</f>
        <v>-32616685.0801395</v>
      </c>
      <c r="L77" s="82" t="n">
        <f aca="false">-L59*Assumptions!$C$32</f>
        <v>-33921352.4833451</v>
      </c>
      <c r="M77" s="82" t="n">
        <f aca="false">-M59*Assumptions!$C$32</f>
        <v>-35278206.5826789</v>
      </c>
      <c r="N77" s="82" t="n">
        <f aca="false">-N59*Assumptions!$C$32</f>
        <v>-36689334.8459861</v>
      </c>
    </row>
    <row r="78" customFormat="false" ht="15" hidden="false" customHeight="false" outlineLevel="0" collapsed="false">
      <c r="B78" s="77" t="s">
        <v>316</v>
      </c>
      <c r="C78" s="75"/>
      <c r="D78" s="82" t="n">
        <f aca="false">-Capex!$I$51</f>
        <v>-4441784336.20874</v>
      </c>
      <c r="E78" s="82" t="n">
        <f aca="false">-Capex!$J$51</f>
        <v>-174932047.463479</v>
      </c>
      <c r="F78" s="82" t="n">
        <v>0</v>
      </c>
      <c r="G78" s="82" t="n">
        <v>0</v>
      </c>
      <c r="H78" s="82" t="n">
        <v>0</v>
      </c>
      <c r="I78" s="82" t="n">
        <v>0</v>
      </c>
      <c r="J78" s="82" t="n">
        <v>0</v>
      </c>
      <c r="K78" s="82" t="n">
        <v>0</v>
      </c>
      <c r="L78" s="82" t="n">
        <v>0</v>
      </c>
      <c r="M78" s="82" t="n">
        <v>0</v>
      </c>
      <c r="N78" s="82" t="n">
        <v>0</v>
      </c>
    </row>
    <row r="79" customFormat="false" ht="15" hidden="false" customHeight="false" outlineLevel="0" collapsed="false">
      <c r="B79" s="83" t="s">
        <v>317</v>
      </c>
      <c r="C79" s="75"/>
      <c r="D79" s="84" t="n">
        <f aca="false">D74+D77+D78</f>
        <v>-4441784336.20874</v>
      </c>
      <c r="E79" s="84" t="n">
        <f aca="false">E74+E77+E78</f>
        <v>127645104.536521</v>
      </c>
      <c r="F79" s="84" t="n">
        <f aca="false">F74+F77+F78</f>
        <v>366931784.96</v>
      </c>
      <c r="G79" s="84" t="n">
        <f aca="false">G74+G77+G78</f>
        <v>408138387.296</v>
      </c>
      <c r="H79" s="84" t="n">
        <f aca="false">H74+H77+H78</f>
        <v>423158909.23184</v>
      </c>
      <c r="I79" s="84" t="n">
        <f aca="false">I74+I77+I78</f>
        <v>438721526.435094</v>
      </c>
      <c r="J79" s="84" t="n">
        <f aca="false">J74+J77+J78</f>
        <v>454845280.064007</v>
      </c>
      <c r="K79" s="84" t="n">
        <f aca="false">K74+K77+K78</f>
        <v>471549854.003794</v>
      </c>
      <c r="L79" s="84" t="n">
        <f aca="false">L74+L77+L78</f>
        <v>488855595.224348</v>
      </c>
      <c r="M79" s="84" t="n">
        <f aca="false">M74+M77+M78</f>
        <v>506783534.711442</v>
      </c>
      <c r="N79" s="84" t="n">
        <f aca="false">N74+N77+N78</f>
        <v>525355408.983536</v>
      </c>
    </row>
    <row r="80" customFormat="false" ht="15" hidden="false" customHeight="false" outlineLevel="0" collapsed="false">
      <c r="B80" s="74" t="s">
        <v>318</v>
      </c>
      <c r="C80" s="75"/>
      <c r="D80" s="87" t="n">
        <v>0</v>
      </c>
      <c r="E80" s="87" t="n">
        <v>0</v>
      </c>
      <c r="F80" s="87" t="n">
        <v>0</v>
      </c>
      <c r="G80" s="87" t="n">
        <v>0</v>
      </c>
      <c r="H80" s="87" t="n">
        <v>0</v>
      </c>
      <c r="I80" s="87" t="n">
        <v>0</v>
      </c>
      <c r="J80" s="87" t="n">
        <v>0</v>
      </c>
      <c r="K80" s="87" t="n">
        <v>0</v>
      </c>
      <c r="L80" s="87" t="n">
        <v>0</v>
      </c>
      <c r="M80" s="87" t="n">
        <v>0</v>
      </c>
      <c r="N80" s="87" t="n">
        <f aca="false">N74*(1+Assumptions!$C$62)/Assumptions!$C$61*(1-Assumptions!$C$63)</f>
        <v>6739247093.07116</v>
      </c>
    </row>
    <row r="81" customFormat="false" ht="15" hidden="false" customHeight="false" outlineLevel="0" collapsed="false">
      <c r="B81" s="74" t="s">
        <v>319</v>
      </c>
      <c r="C81" s="75"/>
      <c r="D81" s="87" t="n">
        <v>0</v>
      </c>
      <c r="E81" s="87" t="n">
        <v>0</v>
      </c>
      <c r="F81" s="87" t="n">
        <v>0</v>
      </c>
      <c r="G81" s="87" t="n">
        <v>0</v>
      </c>
      <c r="H81" s="87" t="n">
        <v>0</v>
      </c>
      <c r="I81" s="87" t="n">
        <v>0</v>
      </c>
      <c r="J81" s="87" t="n">
        <v>0</v>
      </c>
      <c r="K81" s="87" t="n">
        <v>0</v>
      </c>
      <c r="L81" s="87" t="n">
        <v>0</v>
      </c>
      <c r="M81" s="87" t="n">
        <v>0</v>
      </c>
      <c r="N81" s="87" t="n">
        <f aca="false">(N74+N77)*(1+Assumptions!$C$62)/(Assumptions!$C$59-Assumptions!$C$62)*(1-((1+Assumptions!$C$62)/(1+Assumptions!$C$59))^(Assumptions!$C$58-Assumptions!$C$57))</f>
        <v>6090260132.85424</v>
      </c>
    </row>
    <row r="82" customFormat="false" ht="15" hidden="false" customHeight="false" outlineLevel="0" collapsed="false">
      <c r="B82" s="74" t="s">
        <v>320</v>
      </c>
      <c r="C82" s="75"/>
      <c r="D82" s="87" t="n">
        <v>0</v>
      </c>
      <c r="E82" s="87" t="n">
        <v>0</v>
      </c>
      <c r="F82" s="87" t="n">
        <v>0</v>
      </c>
      <c r="G82" s="87" t="n">
        <v>0</v>
      </c>
      <c r="H82" s="87" t="n">
        <v>0</v>
      </c>
      <c r="I82" s="87" t="n">
        <v>0</v>
      </c>
      <c r="J82" s="87" t="n">
        <v>0</v>
      </c>
      <c r="K82" s="87" t="n">
        <v>0</v>
      </c>
      <c r="L82" s="87" t="n">
        <v>0</v>
      </c>
      <c r="M82" s="87" t="n">
        <v>0</v>
      </c>
      <c r="N82" s="87" t="n">
        <f aca="false">Capex!$J$65</f>
        <v>2513327500</v>
      </c>
    </row>
    <row r="83" customFormat="false" ht="15" hidden="false" customHeight="false" outlineLevel="0" collapsed="false">
      <c r="B83" s="77" t="s">
        <v>321</v>
      </c>
      <c r="C83" s="75"/>
      <c r="D83" s="82" t="n">
        <f aca="false">CHOOSE(Assumptions!$C$60,D80,D81,D82,0)</f>
        <v>0</v>
      </c>
      <c r="E83" s="82" t="n">
        <f aca="false">CHOOSE(Assumptions!$C$60,E80,E81,E82,0)</f>
        <v>0</v>
      </c>
      <c r="F83" s="82" t="n">
        <f aca="false">CHOOSE(Assumptions!$C$60,F80,F81,F82,0)</f>
        <v>0</v>
      </c>
      <c r="G83" s="82" t="n">
        <f aca="false">CHOOSE(Assumptions!$C$60,G80,G81,G82,0)</f>
        <v>0</v>
      </c>
      <c r="H83" s="82" t="n">
        <f aca="false">CHOOSE(Assumptions!$C$60,H80,H81,H82,0)</f>
        <v>0</v>
      </c>
      <c r="I83" s="82" t="n">
        <f aca="false">CHOOSE(Assumptions!$C$60,I80,I81,I82,0)</f>
        <v>0</v>
      </c>
      <c r="J83" s="82" t="n">
        <f aca="false">CHOOSE(Assumptions!$C$60,J80,J81,J82,0)</f>
        <v>0</v>
      </c>
      <c r="K83" s="82" t="n">
        <f aca="false">CHOOSE(Assumptions!$C$60,K80,K81,K82,0)</f>
        <v>0</v>
      </c>
      <c r="L83" s="82" t="n">
        <f aca="false">CHOOSE(Assumptions!$C$60,L80,L81,L82,0)</f>
        <v>0</v>
      </c>
      <c r="M83" s="82" t="n">
        <f aca="false">CHOOSE(Assumptions!$C$60,M80,M81,M82,0)</f>
        <v>0</v>
      </c>
      <c r="N83" s="82" t="n">
        <f aca="false">CHOOSE(Assumptions!$C$60,N80,N81,N82,0)</f>
        <v>6090260132.85424</v>
      </c>
    </row>
    <row r="84" customFormat="false" ht="15" hidden="false" customHeight="false" outlineLevel="0" collapsed="false">
      <c r="B84" s="33" t="s">
        <v>322</v>
      </c>
      <c r="C84" s="75"/>
      <c r="D84" s="88" t="n">
        <f aca="false">D79+D83</f>
        <v>-4441784336.20874</v>
      </c>
      <c r="E84" s="88" t="n">
        <f aca="false">E79+E83</f>
        <v>127645104.536521</v>
      </c>
      <c r="F84" s="88" t="n">
        <f aca="false">F79+F83</f>
        <v>366931784.96</v>
      </c>
      <c r="G84" s="88" t="n">
        <f aca="false">G79+G83</f>
        <v>408138387.296</v>
      </c>
      <c r="H84" s="88" t="n">
        <f aca="false">H79+H83</f>
        <v>423158909.23184</v>
      </c>
      <c r="I84" s="88" t="n">
        <f aca="false">I79+I83</f>
        <v>438721526.435094</v>
      </c>
      <c r="J84" s="88" t="n">
        <f aca="false">J79+J83</f>
        <v>454845280.064007</v>
      </c>
      <c r="K84" s="88" t="n">
        <f aca="false">K79+K83</f>
        <v>471549854.003794</v>
      </c>
      <c r="L84" s="88" t="n">
        <f aca="false">L79+L83</f>
        <v>488855595.224348</v>
      </c>
      <c r="M84" s="88" t="n">
        <f aca="false">M79+M83</f>
        <v>506783534.711442</v>
      </c>
      <c r="N84" s="88" t="n">
        <f aca="false">N79+N83</f>
        <v>6615615541.83778</v>
      </c>
    </row>
    <row r="86" customFormat="false" ht="15" hidden="false" customHeight="false" outlineLevel="0" collapsed="false">
      <c r="B86" s="77" t="s">
        <v>323</v>
      </c>
      <c r="C86" s="75"/>
      <c r="D86" s="82" t="n">
        <f aca="false">D79</f>
        <v>-4441784336.20874</v>
      </c>
      <c r="E86" s="82" t="n">
        <f aca="false">D86+E79</f>
        <v>-4314139231.67222</v>
      </c>
      <c r="F86" s="82" t="n">
        <f aca="false">E86+F79</f>
        <v>-3947207446.71222</v>
      </c>
      <c r="G86" s="82" t="n">
        <f aca="false">F86+G79</f>
        <v>-3539069059.41622</v>
      </c>
      <c r="H86" s="82" t="n">
        <f aca="false">G86+H79</f>
        <v>-3115910150.18438</v>
      </c>
      <c r="I86" s="82" t="n">
        <f aca="false">H86+I79</f>
        <v>-2677188623.74928</v>
      </c>
      <c r="J86" s="82" t="n">
        <f aca="false">I86+J79</f>
        <v>-2222343343.68528</v>
      </c>
      <c r="K86" s="82" t="n">
        <f aca="false">J86+K79</f>
        <v>-1750793489.68148</v>
      </c>
      <c r="L86" s="82" t="n">
        <f aca="false">K86+L79</f>
        <v>-1261937894.45713</v>
      </c>
      <c r="M86" s="82" t="n">
        <f aca="false">L86+M79</f>
        <v>-755154359.745691</v>
      </c>
      <c r="N86" s="82" t="n">
        <f aca="false">M86+N79</f>
        <v>-229798950.762155</v>
      </c>
    </row>
    <row r="87" customFormat="false" ht="15" hidden="false" customHeight="false" outlineLevel="0" collapsed="false">
      <c r="B87" s="74" t="s">
        <v>324</v>
      </c>
      <c r="C87" s="75"/>
      <c r="D87" s="89" t="n">
        <f aca="false">1/(1+Assumptions!$C$59)^D$51</f>
        <v>1</v>
      </c>
      <c r="E87" s="89" t="n">
        <f aca="false">1/(1+Assumptions!$C$59)^E$51</f>
        <v>0.892857142857143</v>
      </c>
      <c r="F87" s="89" t="n">
        <f aca="false">1/(1+Assumptions!$C$59)^F$51</f>
        <v>0.79719387755102</v>
      </c>
      <c r="G87" s="89" t="n">
        <f aca="false">1/(1+Assumptions!$C$59)^G$51</f>
        <v>0.711780247813411</v>
      </c>
      <c r="H87" s="89" t="n">
        <f aca="false">1/(1+Assumptions!$C$59)^H$51</f>
        <v>0.635518078404831</v>
      </c>
      <c r="I87" s="89" t="n">
        <f aca="false">1/(1+Assumptions!$C$59)^I$51</f>
        <v>0.567426855718599</v>
      </c>
      <c r="J87" s="89" t="n">
        <f aca="false">1/(1+Assumptions!$C$59)^J$51</f>
        <v>0.506631121177321</v>
      </c>
      <c r="K87" s="89" t="n">
        <f aca="false">1/(1+Assumptions!$C$59)^K$51</f>
        <v>0.452349215336893</v>
      </c>
      <c r="L87" s="89" t="n">
        <f aca="false">1/(1+Assumptions!$C$59)^L$51</f>
        <v>0.403883227979369</v>
      </c>
      <c r="M87" s="89" t="n">
        <f aca="false">1/(1+Assumptions!$C$59)^M$51</f>
        <v>0.360610024981579</v>
      </c>
      <c r="N87" s="89" t="n">
        <f aca="false">1/(1+Assumptions!$C$59)^N$51</f>
        <v>0.321973236590696</v>
      </c>
    </row>
    <row r="88" customFormat="false" ht="15" hidden="false" customHeight="false" outlineLevel="0" collapsed="false">
      <c r="B88" s="77" t="s">
        <v>325</v>
      </c>
      <c r="C88" s="75"/>
      <c r="D88" s="82" t="n">
        <f aca="false">D84*D87</f>
        <v>-4441784336.20874</v>
      </c>
      <c r="E88" s="82" t="n">
        <f aca="false">E84*E87</f>
        <v>113968843.33618</v>
      </c>
      <c r="F88" s="82" t="n">
        <f aca="false">F84*F87</f>
        <v>292515772.44898</v>
      </c>
      <c r="G88" s="82" t="n">
        <f aca="false">G84*G87</f>
        <v>290504842.451713</v>
      </c>
      <c r="H88" s="82" t="n">
        <f aca="false">H84*H87</f>
        <v>268925136.854903</v>
      </c>
      <c r="I88" s="82" t="n">
        <f aca="false">I84*I87</f>
        <v>248942376.28113</v>
      </c>
      <c r="J88" s="82" t="n">
        <f aca="false">J84*J87</f>
        <v>230438774.20104</v>
      </c>
      <c r="K88" s="82" t="n">
        <f aca="false">K84*K87</f>
        <v>213305206.450843</v>
      </c>
      <c r="L88" s="82" t="n">
        <f aca="false">L84*L87</f>
        <v>197440575.814985</v>
      </c>
      <c r="M88" s="82" t="n">
        <f aca="false">M84*M87</f>
        <v>182751223.112546</v>
      </c>
      <c r="N88" s="82" t="n">
        <f aca="false">N84*N87</f>
        <v>2130051148.04522</v>
      </c>
    </row>
    <row r="89" customFormat="false" ht="15" hidden="false" customHeight="false" outlineLevel="0" collapsed="false">
      <c r="B89" s="77" t="s">
        <v>326</v>
      </c>
      <c r="C89" s="75"/>
      <c r="D89" s="82" t="n">
        <f aca="false">D79*D87</f>
        <v>-4441784336.20874</v>
      </c>
      <c r="E89" s="82" t="n">
        <f aca="false">D89+E79*E87</f>
        <v>-4327815492.87256</v>
      </c>
      <c r="F89" s="82" t="n">
        <f aca="false">E89+F79*F87</f>
        <v>-4035299720.42358</v>
      </c>
      <c r="G89" s="82" t="n">
        <f aca="false">F89+G79*G87</f>
        <v>-3744794877.97186</v>
      </c>
      <c r="H89" s="82" t="n">
        <f aca="false">G89+H79*H87</f>
        <v>-3475869741.11696</v>
      </c>
      <c r="I89" s="82" t="n">
        <f aca="false">H89+I79*I87</f>
        <v>-3226927364.83583</v>
      </c>
      <c r="J89" s="82" t="n">
        <f aca="false">I89+J79*J87</f>
        <v>-2996488590.63479</v>
      </c>
      <c r="K89" s="82" t="n">
        <f aca="false">J89+K79*K87</f>
        <v>-2783183384.18395</v>
      </c>
      <c r="L89" s="82" t="n">
        <f aca="false">K89+L79*L87</f>
        <v>-2585742808.36896</v>
      </c>
      <c r="M89" s="82" t="n">
        <f aca="false">L89+M79*M87</f>
        <v>-2402991585.25642</v>
      </c>
      <c r="N89" s="82" t="n">
        <f aca="false">M89+N79*N87</f>
        <v>-2233841203.86556</v>
      </c>
    </row>
    <row r="90" customFormat="false" ht="15" hidden="false" customHeight="false" outlineLevel="0" collapsed="false">
      <c r="B90" s="74" t="s">
        <v>327</v>
      </c>
      <c r="C90" s="75"/>
      <c r="D90" s="90"/>
      <c r="E90" s="90" t="str">
        <f aca="false">IF(AND(D86&lt;0,E86&gt;=0),D$51-D86/E79,"")</f>
        <v/>
      </c>
      <c r="F90" s="90" t="str">
        <f aca="false">IF(AND(E86&lt;0,F86&gt;=0),E$51-E86/F79,"")</f>
        <v/>
      </c>
      <c r="G90" s="90" t="str">
        <f aca="false">IF(AND(F86&lt;0,G86&gt;=0),F$51-F86/G79,"")</f>
        <v/>
      </c>
      <c r="H90" s="90" t="str">
        <f aca="false">IF(AND(G86&lt;0,H86&gt;=0),G$51-G86/H79,"")</f>
        <v/>
      </c>
      <c r="I90" s="90" t="str">
        <f aca="false">IF(AND(H86&lt;0,I86&gt;=0),H$51-H86/I79,"")</f>
        <v/>
      </c>
      <c r="J90" s="90" t="str">
        <f aca="false">IF(AND(I86&lt;0,J86&gt;=0),I$51-I86/J79,"")</f>
        <v/>
      </c>
      <c r="K90" s="90" t="str">
        <f aca="false">IF(AND(J86&lt;0,K86&gt;=0),J$51-J86/K79,"")</f>
        <v/>
      </c>
      <c r="L90" s="90" t="str">
        <f aca="false">IF(AND(K86&lt;0,L86&gt;=0),K$51-K86/L79,"")</f>
        <v/>
      </c>
      <c r="M90" s="90" t="str">
        <f aca="false">IF(AND(L86&lt;0,M86&gt;=0),L$51-L86/M79,"")</f>
        <v/>
      </c>
      <c r="N90" s="90" t="str">
        <f aca="false">IF(AND(M86&lt;0,N86&gt;=0),M$51-M86/N79,"")</f>
        <v/>
      </c>
    </row>
    <row r="91" customFormat="false" ht="15" hidden="false" customHeight="false" outlineLevel="0" collapsed="false">
      <c r="B91" s="74" t="s">
        <v>328</v>
      </c>
      <c r="C91" s="75"/>
      <c r="D91" s="90"/>
      <c r="E91" s="90" t="str">
        <f aca="false">IF(AND(D89&lt;0,E89&gt;=0),D$51-D89/(E79*E87),"")</f>
        <v/>
      </c>
      <c r="F91" s="90" t="str">
        <f aca="false">IF(AND(E89&lt;0,F89&gt;=0),E$51-E89/(F79*F87),"")</f>
        <v/>
      </c>
      <c r="G91" s="90" t="str">
        <f aca="false">IF(AND(F89&lt;0,G89&gt;=0),F$51-F89/(G79*G87),"")</f>
        <v/>
      </c>
      <c r="H91" s="90" t="str">
        <f aca="false">IF(AND(G89&lt;0,H89&gt;=0),G$51-G89/(H79*H87),"")</f>
        <v/>
      </c>
      <c r="I91" s="90" t="str">
        <f aca="false">IF(AND(H89&lt;0,I89&gt;=0),H$51-H89/(I79*I87),"")</f>
        <v/>
      </c>
      <c r="J91" s="90" t="str">
        <f aca="false">IF(AND(I89&lt;0,J89&gt;=0),I$51-I89/(J79*J87),"")</f>
        <v/>
      </c>
      <c r="K91" s="90" t="str">
        <f aca="false">IF(AND(J89&lt;0,K89&gt;=0),J$51-J89/(K79*K87),"")</f>
        <v/>
      </c>
      <c r="L91" s="90" t="str">
        <f aca="false">IF(AND(K89&lt;0,L89&gt;=0),K$51-K89/(L79*L87),"")</f>
        <v/>
      </c>
      <c r="M91" s="90" t="str">
        <f aca="false">IF(AND(L89&lt;0,M89&gt;=0),L$51-L89/(M79*M87),"")</f>
        <v/>
      </c>
      <c r="N91" s="90" t="str">
        <f aca="false">IF(AND(M89&lt;0,N89&gt;=0),M$51-M89/(N79*N87),"")</f>
        <v/>
      </c>
    </row>
    <row r="93" customFormat="false" ht="15" hidden="false" customHeight="false" outlineLevel="0" collapsed="false">
      <c r="B93" s="8" t="s">
        <v>330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customFormat="false" ht="15" hidden="false" customHeight="false" outlineLevel="0" collapsed="false">
      <c r="B94" s="10" t="s">
        <v>269</v>
      </c>
      <c r="C94" s="11"/>
      <c r="D94" s="11" t="s">
        <v>284</v>
      </c>
      <c r="E94" s="11" t="s">
        <v>285</v>
      </c>
      <c r="F94" s="11" t="s">
        <v>286</v>
      </c>
      <c r="G94" s="11" t="s">
        <v>287</v>
      </c>
      <c r="H94" s="11" t="s">
        <v>288</v>
      </c>
      <c r="I94" s="11" t="s">
        <v>289</v>
      </c>
      <c r="J94" s="11" t="s">
        <v>290</v>
      </c>
      <c r="K94" s="11" t="s">
        <v>291</v>
      </c>
      <c r="L94" s="11" t="s">
        <v>292</v>
      </c>
      <c r="M94" s="11" t="s">
        <v>293</v>
      </c>
      <c r="N94" s="11" t="s">
        <v>294</v>
      </c>
    </row>
    <row r="95" customFormat="false" ht="15" hidden="false" customHeight="false" outlineLevel="0" collapsed="false">
      <c r="B95" s="35" t="s">
        <v>331</v>
      </c>
      <c r="D95" s="91" t="n">
        <f aca="false">D78-D34</f>
        <v>-549764500.26221</v>
      </c>
      <c r="E95" s="91" t="n">
        <f aca="false">E78-E34</f>
        <v>-23405333.4560443</v>
      </c>
      <c r="F95" s="91" t="n">
        <f aca="false">F78-F34</f>
        <v>0</v>
      </c>
      <c r="G95" s="91" t="n">
        <f aca="false">G78-G34</f>
        <v>0</v>
      </c>
      <c r="H95" s="91" t="n">
        <f aca="false">H78-H34</f>
        <v>0</v>
      </c>
      <c r="I95" s="91" t="n">
        <f aca="false">I78-I34</f>
        <v>0</v>
      </c>
      <c r="J95" s="91" t="n">
        <f aca="false">J78-J34</f>
        <v>0</v>
      </c>
      <c r="K95" s="91" t="n">
        <f aca="false">K78-K34</f>
        <v>0</v>
      </c>
      <c r="L95" s="91" t="n">
        <f aca="false">L78-L34</f>
        <v>0</v>
      </c>
      <c r="M95" s="91" t="n">
        <f aca="false">M78-M34</f>
        <v>0</v>
      </c>
      <c r="N95" s="91" t="n">
        <f aca="false">N78-N34</f>
        <v>0</v>
      </c>
    </row>
    <row r="96" customFormat="false" ht="15" hidden="false" customHeight="false" outlineLevel="0" collapsed="false">
      <c r="B96" s="35" t="s">
        <v>332</v>
      </c>
      <c r="D96" s="91" t="n">
        <f aca="false">D74-D30</f>
        <v>0</v>
      </c>
      <c r="E96" s="91" t="n">
        <f aca="false">E74-E30</f>
        <v>102168000</v>
      </c>
      <c r="F96" s="91" t="n">
        <f aca="false">F74-F30</f>
        <v>117470136</v>
      </c>
      <c r="G96" s="91" t="n">
        <f aca="false">G74-G30</f>
        <v>127961339.4</v>
      </c>
      <c r="H96" s="91" t="n">
        <f aca="false">H74-H30</f>
        <v>133004705.337</v>
      </c>
      <c r="I96" s="91" t="n">
        <f aca="false">I74-I30</f>
        <v>138246426.967725</v>
      </c>
      <c r="J96" s="91" t="n">
        <f aca="false">J74-J30</f>
        <v>143694286.467455</v>
      </c>
      <c r="K96" s="91" t="n">
        <f aca="false">K74-K30</f>
        <v>149356370.45612</v>
      </c>
      <c r="L96" s="91" t="n">
        <f aca="false">L74-L30</f>
        <v>155241081.86818</v>
      </c>
      <c r="M96" s="91" t="n">
        <f aca="false">M74-M30</f>
        <v>161357152.283445</v>
      </c>
      <c r="N96" s="91" t="n">
        <f aca="false">N74-N30</f>
        <v>167713654.736644</v>
      </c>
    </row>
    <row r="97" customFormat="false" ht="15" hidden="false" customHeight="false" outlineLevel="0" collapsed="false">
      <c r="B97" s="27" t="s">
        <v>333</v>
      </c>
      <c r="D97" s="92" t="n">
        <f aca="false">D79-D35</f>
        <v>-549764500.26221</v>
      </c>
      <c r="E97" s="92" t="n">
        <f aca="false">E79-E35</f>
        <v>74180010.5439557</v>
      </c>
      <c r="F97" s="92" t="n">
        <f aca="false">F79-F35</f>
        <v>112215357.12</v>
      </c>
      <c r="G97" s="92" t="n">
        <f aca="false">G79-G35</f>
        <v>122242184.712</v>
      </c>
      <c r="H97" s="92" t="n">
        <f aca="false">H79-H35</f>
        <v>127056784.46148</v>
      </c>
      <c r="I97" s="92" t="n">
        <f aca="false">I79-I35</f>
        <v>132060589.257184</v>
      </c>
      <c r="J97" s="92" t="n">
        <f aca="false">J79-J35</f>
        <v>137261015.248493</v>
      </c>
      <c r="K97" s="92" t="n">
        <f aca="false">K79-K35</f>
        <v>142665768.388399</v>
      </c>
      <c r="L97" s="92" t="n">
        <f aca="false">L79-L35</f>
        <v>148282855.717751</v>
      </c>
      <c r="M97" s="92" t="n">
        <f aca="false">M79-M35</f>
        <v>154120597.086998</v>
      </c>
      <c r="N97" s="92" t="n">
        <f aca="false">N79-N35</f>
        <v>160187637.332339</v>
      </c>
    </row>
    <row r="98" customFormat="false" ht="15" hidden="false" customHeight="false" outlineLevel="0" collapsed="false">
      <c r="B98" s="27" t="s">
        <v>334</v>
      </c>
      <c r="D98" s="92" t="n">
        <f aca="false">D84-D40</f>
        <v>-549764500.26221</v>
      </c>
      <c r="E98" s="92" t="n">
        <f aca="false">E84-E40</f>
        <v>74180010.5439557</v>
      </c>
      <c r="F98" s="92" t="n">
        <f aca="false">F84-F40</f>
        <v>112215357.12</v>
      </c>
      <c r="G98" s="92" t="n">
        <f aca="false">G84-G40</f>
        <v>122242184.712</v>
      </c>
      <c r="H98" s="92" t="n">
        <f aca="false">H84-H40</f>
        <v>127056784.46148</v>
      </c>
      <c r="I98" s="92" t="n">
        <f aca="false">I84-I40</f>
        <v>132060589.257184</v>
      </c>
      <c r="J98" s="92" t="n">
        <f aca="false">J84-J40</f>
        <v>137261015.248493</v>
      </c>
      <c r="K98" s="92" t="n">
        <f aca="false">K84-K40</f>
        <v>142665768.388399</v>
      </c>
      <c r="L98" s="92" t="n">
        <f aca="false">L84-L40</f>
        <v>148282855.717751</v>
      </c>
      <c r="M98" s="92" t="n">
        <f aca="false">M84-M40</f>
        <v>154120597.086998</v>
      </c>
      <c r="N98" s="92" t="n">
        <f aca="false">N84-N40</f>
        <v>2017186470.38677</v>
      </c>
    </row>
    <row r="100" customFormat="false" ht="15" hidden="false" customHeight="false" outlineLevel="0" collapsed="false">
      <c r="B100" s="8" t="s">
        <v>335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customFormat="false" ht="15" hidden="false" customHeight="false" outlineLevel="0" collapsed="false">
      <c r="B101" s="10" t="s">
        <v>8</v>
      </c>
      <c r="C101" s="11" t="s">
        <v>74</v>
      </c>
      <c r="D101" s="11" t="s">
        <v>9</v>
      </c>
      <c r="E101" s="11" t="s">
        <v>10</v>
      </c>
      <c r="F101" s="11" t="s">
        <v>11</v>
      </c>
    </row>
    <row r="102" customFormat="false" ht="15" hidden="false" customHeight="false" outlineLevel="0" collapsed="false">
      <c r="B102" s="35" t="s">
        <v>336</v>
      </c>
      <c r="C102" s="75" t="s">
        <v>6</v>
      </c>
      <c r="D102" s="91" t="n">
        <f aca="false">-SUM(D34:N34)</f>
        <v>4043546549.95396</v>
      </c>
      <c r="E102" s="91" t="n">
        <f aca="false">-SUM(D78:N78)</f>
        <v>4616716383.67222</v>
      </c>
      <c r="F102" s="91" t="n">
        <f aca="false">IFERROR(E102-D102,"n/a")</f>
        <v>573169833.718254</v>
      </c>
    </row>
    <row r="103" customFormat="false" ht="15" hidden="false" customHeight="false" outlineLevel="0" collapsed="false">
      <c r="B103" s="35" t="s">
        <v>337</v>
      </c>
      <c r="C103" s="75" t="s">
        <v>6</v>
      </c>
      <c r="D103" s="91" t="n">
        <f aca="false">E15</f>
        <v>591926400</v>
      </c>
      <c r="E103" s="91" t="n">
        <f aca="false">E59</f>
        <v>744681600</v>
      </c>
      <c r="F103" s="91" t="n">
        <f aca="false">IFERROR(E103-D103,"n/a")</f>
        <v>152755200</v>
      </c>
    </row>
    <row r="104" customFormat="false" ht="15" hidden="false" customHeight="false" outlineLevel="0" collapsed="false">
      <c r="B104" s="35" t="s">
        <v>338</v>
      </c>
      <c r="C104" s="75" t="s">
        <v>6</v>
      </c>
      <c r="D104" s="91" t="n">
        <f aca="false">G30</f>
        <v>308057927</v>
      </c>
      <c r="E104" s="91" t="n">
        <f aca="false">G74</f>
        <v>436019266.4</v>
      </c>
      <c r="F104" s="91" t="n">
        <f aca="false">IFERROR(E104-D104,"n/a")</f>
        <v>127961339.4</v>
      </c>
    </row>
    <row r="105" customFormat="false" ht="15" hidden="false" customHeight="false" outlineLevel="0" collapsed="false">
      <c r="B105" s="35" t="s">
        <v>339</v>
      </c>
      <c r="C105" s="75" t="s">
        <v>97</v>
      </c>
      <c r="D105" s="93" t="n">
        <f aca="false">G31</f>
        <v>0.417013479480315</v>
      </c>
      <c r="E105" s="93" t="n">
        <f aca="false">G75</f>
        <v>0.469159453086376</v>
      </c>
      <c r="F105" s="93" t="n">
        <f aca="false">IFERROR(E105-D105,"n/a")</f>
        <v>0.0521459736060611</v>
      </c>
    </row>
    <row r="106" customFormat="false" ht="15" hidden="false" customHeight="false" outlineLevel="0" collapsed="false">
      <c r="B106" s="35" t="s">
        <v>340</v>
      </c>
      <c r="C106" s="75" t="s">
        <v>97</v>
      </c>
      <c r="D106" s="93" t="n">
        <f aca="false">G30/D102</f>
        <v>0.0761850823761403</v>
      </c>
      <c r="E106" s="93" t="n">
        <f aca="false">G74/E102</f>
        <v>0.0944435893749191</v>
      </c>
      <c r="F106" s="93" t="n">
        <f aca="false">IFERROR(E106-D106,"n/a")</f>
        <v>0.0182585069987788</v>
      </c>
    </row>
    <row r="107" customFormat="false" ht="15" hidden="false" customHeight="false" outlineLevel="0" collapsed="false">
      <c r="B107" s="35" t="s">
        <v>341</v>
      </c>
      <c r="C107" s="75" t="s">
        <v>6</v>
      </c>
      <c r="D107" s="91" t="n">
        <f aca="false">NPV(Assumptions!$C$59,E40:N40)+D40</f>
        <v>-1020578563.74661</v>
      </c>
      <c r="E107" s="91" t="n">
        <f aca="false">NPV(Assumptions!$C$59,E84:N84)+D84</f>
        <v>-272940437.211198</v>
      </c>
      <c r="F107" s="91" t="n">
        <f aca="false">IFERROR(E107-D107,"n/a")</f>
        <v>747638126.535411</v>
      </c>
    </row>
    <row r="108" customFormat="false" ht="15" hidden="false" customHeight="false" outlineLevel="0" collapsed="false">
      <c r="B108" s="35" t="s">
        <v>20</v>
      </c>
      <c r="C108" s="75" t="s">
        <v>97</v>
      </c>
      <c r="D108" s="93" t="n">
        <f aca="false">IFERROR(IRR(D40:N40),"n/a")</f>
        <v>0.0768611399784622</v>
      </c>
      <c r="E108" s="93" t="n">
        <f aca="false">IFERROR(IRR(D84:N84),"n/a")</f>
        <v>0.110625400380455</v>
      </c>
      <c r="F108" s="93" t="n">
        <f aca="false">IFERROR(E108-D108,"n/a")</f>
        <v>0.0337642604019929</v>
      </c>
    </row>
    <row r="109" customFormat="false" ht="15" hidden="false" customHeight="false" outlineLevel="0" collapsed="false">
      <c r="B109" s="35" t="s">
        <v>342</v>
      </c>
      <c r="C109" s="75" t="s">
        <v>6</v>
      </c>
      <c r="D109" s="91" t="n">
        <f aca="false">NPV(Assumptions!$C$59,E35:N35)+D35+N36*N43</f>
        <v>-861201677.085473</v>
      </c>
      <c r="E109" s="91" t="n">
        <f aca="false">NPV(Assumptions!$C$59,E79:N79)+D79+N80*N87</f>
        <v>-63984005.1249986</v>
      </c>
      <c r="F109" s="91" t="n">
        <f aca="false">IFERROR(E109-D109,"n/a")</f>
        <v>797217671.960475</v>
      </c>
    </row>
    <row r="110" customFormat="false" ht="15" hidden="false" customHeight="false" outlineLevel="0" collapsed="false">
      <c r="B110" s="35" t="s">
        <v>343</v>
      </c>
      <c r="C110" s="75" t="s">
        <v>6</v>
      </c>
      <c r="D110" s="91" t="n">
        <f aca="false">NPV(Assumptions!$C$59,E35:N35)+D35+N37*N43</f>
        <v>-1020578563.74661</v>
      </c>
      <c r="E110" s="91" t="n">
        <f aca="false">NPV(Assumptions!$C$59,E79:N79)+D79+N81*N87</f>
        <v>-272940437.211198</v>
      </c>
      <c r="F110" s="91" t="n">
        <f aca="false">IFERROR(E110-D110,"n/a")</f>
        <v>747638126.535412</v>
      </c>
    </row>
    <row r="111" customFormat="false" ht="15" hidden="false" customHeight="false" outlineLevel="0" collapsed="false">
      <c r="B111" s="35" t="s">
        <v>344</v>
      </c>
      <c r="C111" s="75" t="s">
        <v>6</v>
      </c>
      <c r="D111" s="91" t="n">
        <f aca="false">NPV(Assumptions!$C$59,E35:N35)+D35+N38*N43</f>
        <v>-1670291191.163</v>
      </c>
      <c r="E111" s="91" t="n">
        <f aca="false">NPV(Assumptions!$C$59,E79:N79)+D79+N82*N87</f>
        <v>-1424617014.07816</v>
      </c>
      <c r="F111" s="91" t="n">
        <f aca="false">IFERROR(E111-D111,"n/a")</f>
        <v>245674177.084844</v>
      </c>
    </row>
    <row r="112" customFormat="false" ht="15" hidden="false" customHeight="false" outlineLevel="0" collapsed="false">
      <c r="B112" s="35" t="s">
        <v>345</v>
      </c>
      <c r="C112" s="75" t="s">
        <v>6</v>
      </c>
      <c r="D112" s="91" t="n">
        <f aca="false">NPV(Assumptions!$C$59,E35:N35)+D35</f>
        <v>-2383575405.77729</v>
      </c>
      <c r="E112" s="91" t="n">
        <f aca="false">NPV(Assumptions!$C$59,E79:N79)+D79</f>
        <v>-2233841203.86556</v>
      </c>
      <c r="F112" s="91" t="n">
        <f aca="false">IFERROR(E112-D112,"n/a")</f>
        <v>149734201.911731</v>
      </c>
    </row>
    <row r="113" customFormat="false" ht="15" hidden="false" customHeight="false" outlineLevel="0" collapsed="false">
      <c r="B113" s="35" t="s">
        <v>346</v>
      </c>
      <c r="C113" s="75" t="s">
        <v>97</v>
      </c>
      <c r="D113" s="93" t="n">
        <f aca="false">IFERROR(IRR(IRR_H1_1),"n/a")</f>
        <v>0.0848189551261852</v>
      </c>
      <c r="E113" s="93" t="n">
        <f aca="false">IFERROR(IRR(IRR_H1_2),"n/a")</f>
        <v>0.117873189254329</v>
      </c>
      <c r="F113" s="93" t="n">
        <f aca="false">IFERROR(E113-D113,"n/a")</f>
        <v>0.0330542341281433</v>
      </c>
    </row>
    <row r="114" customFormat="false" ht="15" hidden="false" customHeight="false" outlineLevel="0" collapsed="false">
      <c r="B114" s="35" t="s">
        <v>347</v>
      </c>
      <c r="C114" s="75" t="s">
        <v>97</v>
      </c>
      <c r="D114" s="93" t="n">
        <f aca="false">IFERROR(IRR(IRR_H2_1),"n/a")</f>
        <v>0.0768611399784622</v>
      </c>
      <c r="E114" s="93" t="n">
        <f aca="false">IFERROR(IRR(IRR_H2_2),"n/a")</f>
        <v>0.110625400380455</v>
      </c>
      <c r="F114" s="93" t="n">
        <f aca="false">IFERROR(E114-D114,"n/a")</f>
        <v>0.0337642604019929</v>
      </c>
    </row>
    <row r="115" customFormat="false" ht="15" hidden="false" customHeight="false" outlineLevel="0" collapsed="false">
      <c r="B115" s="35" t="s">
        <v>348</v>
      </c>
      <c r="C115" s="75" t="s">
        <v>97</v>
      </c>
      <c r="D115" s="93" t="n">
        <f aca="false">IFERROR(IRR(IRR_H3_1),"n/a")</f>
        <v>0.0362328087831246</v>
      </c>
      <c r="E115" s="93" t="n">
        <f aca="false">IFERROR(IRR(IRR_H3_2),"n/a")</f>
        <v>0.0582579163923645</v>
      </c>
      <c r="F115" s="93" t="n">
        <f aca="false">IFERROR(E115-D115,"n/a")</f>
        <v>0.0220251076092398</v>
      </c>
    </row>
    <row r="116" customFormat="false" ht="15" hidden="false" customHeight="false" outlineLevel="0" collapsed="false">
      <c r="B116" s="35" t="s">
        <v>349</v>
      </c>
      <c r="C116" s="75" t="s">
        <v>97</v>
      </c>
      <c r="D116" s="93" t="n">
        <f aca="false">IFERROR(IRR(IRR_H4_1),"n/a")</f>
        <v>-0.0453477468859761</v>
      </c>
      <c r="E116" s="93" t="n">
        <f aca="false">IFERROR(IRR(IRR_H4_2),"n/a")</f>
        <v>-0.0086156431722019</v>
      </c>
      <c r="F116" s="93" t="n">
        <f aca="false">IFERROR(E116-D116,"n/a")</f>
        <v>0.0367321037137742</v>
      </c>
    </row>
    <row r="117" customFormat="false" ht="15" hidden="false" customHeight="false" outlineLevel="0" collapsed="false">
      <c r="B117" s="35" t="s">
        <v>350</v>
      </c>
      <c r="C117" s="75" t="s">
        <v>160</v>
      </c>
      <c r="D117" s="94" t="n">
        <f aca="false">IFERROR(MIN(E46:N46),0)</f>
        <v>0</v>
      </c>
      <c r="E117" s="94" t="n">
        <f aca="false">IFERROR(MIN(E90:N90),0)</f>
        <v>0</v>
      </c>
      <c r="F117" s="94"/>
    </row>
    <row r="118" customFormat="false" ht="15" hidden="false" customHeight="false" outlineLevel="0" collapsed="false">
      <c r="B118" s="35" t="s">
        <v>27</v>
      </c>
      <c r="C118" s="75" t="s">
        <v>160</v>
      </c>
      <c r="D118" s="94" t="n">
        <f aca="false">IFERROR(MIN(E47:N47),0)</f>
        <v>0</v>
      </c>
      <c r="E118" s="94" t="n">
        <f aca="false">IFERROR(MIN(E91:N91),0)</f>
        <v>0</v>
      </c>
      <c r="F118" s="94"/>
    </row>
    <row r="119" customFormat="false" ht="15" hidden="false" customHeight="false" outlineLevel="0" collapsed="false">
      <c r="B119" s="35" t="s">
        <v>351</v>
      </c>
      <c r="C119" s="75" t="s">
        <v>6</v>
      </c>
      <c r="F119" s="91" t="n">
        <f aca="false">IF(Assumptions!$D$12-Assumptions!$C$12=0,0,F102/(Assumptions!$D$12-Assumptions!$C$12))</f>
        <v>286584916.859127</v>
      </c>
    </row>
    <row r="120" customFormat="false" ht="15" hidden="false" customHeight="false" outlineLevel="0" collapsed="false">
      <c r="B120" s="27" t="s">
        <v>352</v>
      </c>
      <c r="C120" s="75" t="s">
        <v>97</v>
      </c>
      <c r="F120" s="44" t="n">
        <f aca="false">IFERROR(IRR(D98:N98),"n/a")</f>
        <v>0.274182564638984</v>
      </c>
    </row>
    <row r="121" customFormat="false" ht="15" hidden="false" customHeight="false" outlineLevel="0" collapsed="false">
      <c r="B121" s="35" t="s">
        <v>353</v>
      </c>
      <c r="C121" s="75" t="s">
        <v>97</v>
      </c>
      <c r="F121" s="93" t="n">
        <f aca="false">IF(F102=0,0,F104/F102)</f>
        <v>0.223252048297609</v>
      </c>
    </row>
    <row r="123" customFormat="false" ht="15" hidden="false" customHeight="false" outlineLevel="0" collapsed="false">
      <c r="B123" s="26" t="s">
        <v>354</v>
      </c>
    </row>
    <row r="125" customFormat="false" ht="15" hidden="false" customHeight="false" outlineLevel="0" collapsed="false">
      <c r="B125" s="8" t="s">
        <v>355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customFormat="false" ht="15" hidden="false" customHeight="false" outlineLevel="0" collapsed="false">
      <c r="B126" s="56" t="s">
        <v>356</v>
      </c>
      <c r="D126" s="95" t="n">
        <f aca="false">D35+D36</f>
        <v>-3892019835.94653</v>
      </c>
      <c r="E126" s="95" t="n">
        <f aca="false">E35+E36</f>
        <v>53465093.9925654</v>
      </c>
      <c r="F126" s="95" t="n">
        <f aca="false">F35+F36</f>
        <v>254716427.84</v>
      </c>
      <c r="G126" s="95" t="n">
        <f aca="false">G35+G36</f>
        <v>285896202.584</v>
      </c>
      <c r="H126" s="95" t="n">
        <f aca="false">H35+H36</f>
        <v>296102124.77036</v>
      </c>
      <c r="I126" s="95" t="n">
        <f aca="false">I35+I36</f>
        <v>306660937.17791</v>
      </c>
      <c r="J126" s="95" t="n">
        <f aca="false">J35+J36</f>
        <v>317584264.815514</v>
      </c>
      <c r="K126" s="95" t="n">
        <f aca="false">K35+K36</f>
        <v>328884085.615395</v>
      </c>
      <c r="L126" s="95" t="n">
        <f aca="false">L35+L36</f>
        <v>340572739.506597</v>
      </c>
      <c r="M126" s="95" t="n">
        <f aca="false">M35+M36</f>
        <v>352662937.624444</v>
      </c>
      <c r="N126" s="95" t="n">
        <f aca="false">N35+N36</f>
        <v>5093429489.33897</v>
      </c>
    </row>
    <row r="127" customFormat="false" ht="15" hidden="false" customHeight="false" outlineLevel="0" collapsed="false">
      <c r="B127" s="56" t="s">
        <v>357</v>
      </c>
      <c r="D127" s="95" t="n">
        <f aca="false">D35+D37</f>
        <v>-3892019835.94653</v>
      </c>
      <c r="E127" s="95" t="n">
        <f aca="false">E35+E37</f>
        <v>53465093.9925654</v>
      </c>
      <c r="F127" s="95" t="n">
        <f aca="false">F35+F37</f>
        <v>254716427.84</v>
      </c>
      <c r="G127" s="95" t="n">
        <f aca="false">G35+G37</f>
        <v>285896202.584</v>
      </c>
      <c r="H127" s="95" t="n">
        <f aca="false">H35+H37</f>
        <v>296102124.77036</v>
      </c>
      <c r="I127" s="95" t="n">
        <f aca="false">I35+I37</f>
        <v>306660937.17791</v>
      </c>
      <c r="J127" s="95" t="n">
        <f aca="false">J35+J37</f>
        <v>317584264.815514</v>
      </c>
      <c r="K127" s="95" t="n">
        <f aca="false">K35+K37</f>
        <v>328884085.615395</v>
      </c>
      <c r="L127" s="95" t="n">
        <f aca="false">L35+L37</f>
        <v>340572739.506597</v>
      </c>
      <c r="M127" s="95" t="n">
        <f aca="false">M35+M37</f>
        <v>352662937.624444</v>
      </c>
      <c r="N127" s="95" t="n">
        <f aca="false">N35+N37</f>
        <v>4598429071.45101</v>
      </c>
    </row>
    <row r="128" customFormat="false" ht="15" hidden="false" customHeight="false" outlineLevel="0" collapsed="false">
      <c r="B128" s="56" t="s">
        <v>358</v>
      </c>
      <c r="D128" s="95" t="n">
        <f aca="false">D35+D38</f>
        <v>-3892019835.94653</v>
      </c>
      <c r="E128" s="95" t="n">
        <f aca="false">E35+E38</f>
        <v>53465093.9925654</v>
      </c>
      <c r="F128" s="95" t="n">
        <f aca="false">F35+F38</f>
        <v>254716427.84</v>
      </c>
      <c r="G128" s="95" t="n">
        <f aca="false">G35+G38</f>
        <v>285896202.584</v>
      </c>
      <c r="H128" s="95" t="n">
        <f aca="false">H35+H38</f>
        <v>296102124.77036</v>
      </c>
      <c r="I128" s="95" t="n">
        <f aca="false">I35+I38</f>
        <v>306660937.17791</v>
      </c>
      <c r="J128" s="95" t="n">
        <f aca="false">J35+J38</f>
        <v>317584264.815514</v>
      </c>
      <c r="K128" s="95" t="n">
        <f aca="false">K35+K38</f>
        <v>328884085.615395</v>
      </c>
      <c r="L128" s="95" t="n">
        <f aca="false">L35+L38</f>
        <v>340572739.506597</v>
      </c>
      <c r="M128" s="95" t="n">
        <f aca="false">M35+M38</f>
        <v>352662937.624444</v>
      </c>
      <c r="N128" s="95" t="n">
        <f aca="false">N35+N38</f>
        <v>2580520271.6512</v>
      </c>
    </row>
    <row r="129" customFormat="false" ht="15" hidden="false" customHeight="false" outlineLevel="0" collapsed="false">
      <c r="B129" s="56" t="s">
        <v>359</v>
      </c>
      <c r="D129" s="95" t="n">
        <f aca="false">D35</f>
        <v>-3892019835.94653</v>
      </c>
      <c r="E129" s="95" t="n">
        <f aca="false">E35</f>
        <v>53465093.9925654</v>
      </c>
      <c r="F129" s="95" t="n">
        <f aca="false">F35</f>
        <v>254716427.84</v>
      </c>
      <c r="G129" s="95" t="n">
        <f aca="false">G35</f>
        <v>285896202.584</v>
      </c>
      <c r="H129" s="95" t="n">
        <f aca="false">H35</f>
        <v>296102124.77036</v>
      </c>
      <c r="I129" s="95" t="n">
        <f aca="false">I35</f>
        <v>306660937.17791</v>
      </c>
      <c r="J129" s="95" t="n">
        <f aca="false">J35</f>
        <v>317584264.815514</v>
      </c>
      <c r="K129" s="95" t="n">
        <f aca="false">K35</f>
        <v>328884085.615395</v>
      </c>
      <c r="L129" s="95" t="n">
        <f aca="false">L35</f>
        <v>340572739.506597</v>
      </c>
      <c r="M129" s="95" t="n">
        <f aca="false">M35</f>
        <v>352662937.624444</v>
      </c>
      <c r="N129" s="95" t="n">
        <f aca="false">N35</f>
        <v>365167771.651197</v>
      </c>
    </row>
    <row r="130" customFormat="false" ht="15" hidden="false" customHeight="false" outlineLevel="0" collapsed="false">
      <c r="B130" s="56" t="s">
        <v>360</v>
      </c>
      <c r="D130" s="95" t="n">
        <f aca="false">D79+D80</f>
        <v>-4441784336.20874</v>
      </c>
      <c r="E130" s="95" t="n">
        <f aca="false">E79+E80</f>
        <v>127645104.536521</v>
      </c>
      <c r="F130" s="95" t="n">
        <f aca="false">F79+F80</f>
        <v>366931784.96</v>
      </c>
      <c r="G130" s="95" t="n">
        <f aca="false">G79+G80</f>
        <v>408138387.296</v>
      </c>
      <c r="H130" s="95" t="n">
        <f aca="false">H79+H80</f>
        <v>423158909.23184</v>
      </c>
      <c r="I130" s="95" t="n">
        <f aca="false">I79+I80</f>
        <v>438721526.435094</v>
      </c>
      <c r="J130" s="95" t="n">
        <f aca="false">J79+J80</f>
        <v>454845280.064007</v>
      </c>
      <c r="K130" s="95" t="n">
        <f aca="false">K79+K80</f>
        <v>471549854.003794</v>
      </c>
      <c r="L130" s="95" t="n">
        <f aca="false">L79+L80</f>
        <v>488855595.224348</v>
      </c>
      <c r="M130" s="95" t="n">
        <f aca="false">M79+M80</f>
        <v>506783534.711442</v>
      </c>
      <c r="N130" s="95" t="n">
        <f aca="false">N79+N80</f>
        <v>7264602502.0547</v>
      </c>
    </row>
    <row r="131" customFormat="false" ht="15" hidden="false" customHeight="false" outlineLevel="0" collapsed="false">
      <c r="B131" s="56" t="s">
        <v>361</v>
      </c>
      <c r="D131" s="95" t="n">
        <f aca="false">D79+D81</f>
        <v>-4441784336.20874</v>
      </c>
      <c r="E131" s="95" t="n">
        <f aca="false">E79+E81</f>
        <v>127645104.536521</v>
      </c>
      <c r="F131" s="95" t="n">
        <f aca="false">F79+F81</f>
        <v>366931784.96</v>
      </c>
      <c r="G131" s="95" t="n">
        <f aca="false">G79+G81</f>
        <v>408138387.296</v>
      </c>
      <c r="H131" s="95" t="n">
        <f aca="false">H79+H81</f>
        <v>423158909.23184</v>
      </c>
      <c r="I131" s="95" t="n">
        <f aca="false">I79+I81</f>
        <v>438721526.435094</v>
      </c>
      <c r="J131" s="95" t="n">
        <f aca="false">J79+J81</f>
        <v>454845280.064007</v>
      </c>
      <c r="K131" s="95" t="n">
        <f aca="false">K79+K81</f>
        <v>471549854.003794</v>
      </c>
      <c r="L131" s="95" t="n">
        <f aca="false">L79+L81</f>
        <v>488855595.224348</v>
      </c>
      <c r="M131" s="95" t="n">
        <f aca="false">M79+M81</f>
        <v>506783534.711442</v>
      </c>
      <c r="N131" s="95" t="n">
        <f aca="false">N79+N81</f>
        <v>6615615541.83778</v>
      </c>
    </row>
    <row r="132" customFormat="false" ht="15" hidden="false" customHeight="false" outlineLevel="0" collapsed="false">
      <c r="B132" s="56" t="s">
        <v>362</v>
      </c>
      <c r="D132" s="95" t="n">
        <f aca="false">D79+D82</f>
        <v>-4441784336.20874</v>
      </c>
      <c r="E132" s="95" t="n">
        <f aca="false">E79+E82</f>
        <v>127645104.536521</v>
      </c>
      <c r="F132" s="95" t="n">
        <f aca="false">F79+F82</f>
        <v>366931784.96</v>
      </c>
      <c r="G132" s="95" t="n">
        <f aca="false">G79+G82</f>
        <v>408138387.296</v>
      </c>
      <c r="H132" s="95" t="n">
        <f aca="false">H79+H82</f>
        <v>423158909.23184</v>
      </c>
      <c r="I132" s="95" t="n">
        <f aca="false">I79+I82</f>
        <v>438721526.435094</v>
      </c>
      <c r="J132" s="95" t="n">
        <f aca="false">J79+J82</f>
        <v>454845280.064007</v>
      </c>
      <c r="K132" s="95" t="n">
        <f aca="false">K79+K82</f>
        <v>471549854.003794</v>
      </c>
      <c r="L132" s="95" t="n">
        <f aca="false">L79+L82</f>
        <v>488855595.224348</v>
      </c>
      <c r="M132" s="95" t="n">
        <f aca="false">M79+M82</f>
        <v>506783534.711442</v>
      </c>
      <c r="N132" s="95" t="n">
        <f aca="false">N79+N82</f>
        <v>3038682908.98354</v>
      </c>
    </row>
    <row r="133" customFormat="false" ht="15" hidden="false" customHeight="false" outlineLevel="0" collapsed="false">
      <c r="B133" s="56" t="s">
        <v>363</v>
      </c>
      <c r="D133" s="95" t="n">
        <f aca="false">D79</f>
        <v>-4441784336.20874</v>
      </c>
      <c r="E133" s="95" t="n">
        <f aca="false">E79</f>
        <v>127645104.536521</v>
      </c>
      <c r="F133" s="95" t="n">
        <f aca="false">F79</f>
        <v>366931784.96</v>
      </c>
      <c r="G133" s="95" t="n">
        <f aca="false">G79</f>
        <v>408138387.296</v>
      </c>
      <c r="H133" s="95" t="n">
        <f aca="false">H79</f>
        <v>423158909.23184</v>
      </c>
      <c r="I133" s="95" t="n">
        <f aca="false">I79</f>
        <v>438721526.435094</v>
      </c>
      <c r="J133" s="95" t="n">
        <f aca="false">J79</f>
        <v>454845280.064007</v>
      </c>
      <c r="K133" s="95" t="n">
        <f aca="false">K79</f>
        <v>471549854.003794</v>
      </c>
      <c r="L133" s="95" t="n">
        <f aca="false">L79</f>
        <v>488855595.224348</v>
      </c>
      <c r="M133" s="95" t="n">
        <f aca="false">M79</f>
        <v>506783534.711442</v>
      </c>
      <c r="N133" s="95" t="n">
        <f aca="false">N79</f>
        <v>525355408.983536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B2:K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11" min="3" style="0" width="12.5"/>
  </cols>
  <sheetData>
    <row r="2" customFormat="false" ht="19.7" hidden="false" customHeight="false" outlineLevel="0" collapsed="false">
      <c r="B2" s="31" t="s">
        <v>364</v>
      </c>
    </row>
    <row r="3" customFormat="false" ht="15" hidden="false" customHeight="false" outlineLevel="0" collapsed="false">
      <c r="B3" s="32" t="s">
        <v>365</v>
      </c>
    </row>
    <row r="5" customFormat="false" ht="15" hidden="false" customHeight="false" outlineLevel="0" collapsed="false">
      <c r="B5" s="8" t="s">
        <v>366</v>
      </c>
      <c r="C5" s="9"/>
      <c r="D5" s="9"/>
      <c r="E5" s="9"/>
      <c r="F5" s="9"/>
      <c r="G5" s="9"/>
      <c r="H5" s="9"/>
      <c r="I5" s="9"/>
      <c r="J5" s="9"/>
      <c r="K5" s="9"/>
    </row>
    <row r="6" customFormat="false" ht="15" hidden="false" customHeight="false" outlineLevel="0" collapsed="false">
      <c r="B6" s="10" t="s">
        <v>199</v>
      </c>
      <c r="C6" s="11" t="s">
        <v>9</v>
      </c>
      <c r="D6" s="11" t="s">
        <v>10</v>
      </c>
      <c r="E6" s="11" t="s">
        <v>367</v>
      </c>
    </row>
    <row r="7" customFormat="false" ht="15" hidden="false" customHeight="false" outlineLevel="0" collapsed="false">
      <c r="B7" s="29" t="s">
        <v>368</v>
      </c>
      <c r="C7" s="96" t="n">
        <f aca="false">SUMPRODUCT('Cash Flow'!$D$15:$N$15,'Cash Flow'!$D$43:$N$43)</f>
        <v>4362007817.01391</v>
      </c>
      <c r="D7" s="96" t="n">
        <f aca="false">SUMPRODUCT('Cash Flow'!$D$59:$N$59,'Cash Flow'!$D$87:$N$87)</f>
        <v>5487687253.66266</v>
      </c>
      <c r="E7" s="26" t="s">
        <v>369</v>
      </c>
    </row>
    <row r="8" customFormat="false" ht="15" hidden="false" customHeight="false" outlineLevel="0" collapsed="false">
      <c r="B8" s="29" t="s">
        <v>370</v>
      </c>
      <c r="C8" s="96" t="n">
        <f aca="false">-SUMPRODUCT('Cash Flow'!$D$20:$N$20+'Cash Flow'!$D$21:$N$21,'Cash Flow'!$D$43:$N$43)</f>
        <v>198280720.27794</v>
      </c>
      <c r="D8" s="96" t="n">
        <f aca="false">-SUMPRODUCT('Cash Flow'!$D$64:$N$64+'Cash Flow'!$D$65:$N$65,'Cash Flow'!$D$87:$N$87)</f>
        <v>264374293.70392</v>
      </c>
      <c r="E8" s="26" t="s">
        <v>371</v>
      </c>
    </row>
    <row r="9" customFormat="false" ht="15" hidden="false" customHeight="false" outlineLevel="0" collapsed="false">
      <c r="B9" s="29" t="s">
        <v>372</v>
      </c>
      <c r="C9" s="96" t="n">
        <f aca="false">-SUMPRODUCT('Cash Flow'!$D$22:$N$22+'Cash Flow'!$D$23:$N$23+'Cash Flow'!$D$24:$N$24+'Cash Flow'!$D$25:$N$25+'Cash Flow'!$D$26:$N$26+'Cash Flow'!$D$27:$N$27+'Cash Flow'!$D$28:$N$28,'Cash Flow'!$D$43:$N$43)</f>
        <v>1298628768.86763</v>
      </c>
      <c r="D9" s="96" t="n">
        <f aca="false">-SUMPRODUCT('Cash Flow'!$D$66:$N$66+'Cash Flow'!$D$67:$N$67+'Cash Flow'!$D$68:$N$68+'Cash Flow'!$D$69:$N$69+'Cash Flow'!$D$70:$N$70+'Cash Flow'!$D$71:$N$71+'Cash Flow'!$D$72:$N$72,'Cash Flow'!$D$87:$N$87)</f>
        <v>1322628068.49763</v>
      </c>
      <c r="E9" s="26"/>
    </row>
    <row r="10" customFormat="false" ht="15" hidden="false" customHeight="false" outlineLevel="0" collapsed="false">
      <c r="B10" s="29" t="s">
        <v>373</v>
      </c>
      <c r="C10" s="96" t="n">
        <f aca="false">-SUMPRODUCT('Cash Flow'!$D$34:$N$34,'Cash Flow'!$D$43:$N$43)</f>
        <v>4027311544.88174</v>
      </c>
      <c r="D10" s="96" t="n">
        <f aca="false">-SUMPRODUCT('Cash Flow'!$D$78:$N$78,'Cash Flow'!$D$87:$N$87)</f>
        <v>4597973664.30113</v>
      </c>
      <c r="E10" s="26"/>
    </row>
    <row r="11" customFormat="false" ht="15" hidden="false" customHeight="false" outlineLevel="0" collapsed="false">
      <c r="B11" s="29" t="s">
        <v>374</v>
      </c>
      <c r="C11" s="96" t="n">
        <f aca="false">'Cash Flow'!$N$15</f>
        <v>972110581.389375</v>
      </c>
      <c r="D11" s="96" t="n">
        <f aca="false">'Cash Flow'!$N$59</f>
        <v>1222977828.19954</v>
      </c>
      <c r="E11" s="26"/>
    </row>
    <row r="12" customFormat="false" ht="15" hidden="false" customHeight="false" outlineLevel="0" collapsed="false">
      <c r="B12" s="29" t="s">
        <v>375</v>
      </c>
      <c r="C12" s="96" t="n">
        <f aca="false">-('Cash Flow'!$N$20+'Cash Flow'!$N$21)</f>
        <v>45260513.5964565</v>
      </c>
      <c r="D12" s="96" t="n">
        <f aca="false">-('Cash Flow'!$N$64+'Cash Flow'!$N$65)</f>
        <v>60347351.4619421</v>
      </c>
      <c r="E12" s="26"/>
    </row>
    <row r="13" customFormat="false" ht="15" hidden="false" customHeight="false" outlineLevel="0" collapsed="false">
      <c r="B13" s="29" t="s">
        <v>376</v>
      </c>
      <c r="C13" s="96" t="n">
        <f aca="false">-('Cash Flow'!$N$22+'Cash Flow'!$N$23+'Cash Flow'!$N$24+'Cash Flow'!$N$25+'Cash Flow'!$N$26+'Cash Flow'!$N$27+'Cash Flow'!$N$28)</f>
        <v>289491333.352697</v>
      </c>
      <c r="D13" s="96" t="n">
        <f aca="false">-('Cash Flow'!$N$66+'Cash Flow'!$N$67+'Cash Flow'!$N$68+'Cash Flow'!$N$69+'Cash Flow'!$N$70+'Cash Flow'!$N$71+'Cash Flow'!$N$72)</f>
        <v>294841275.858188</v>
      </c>
      <c r="E13" s="26"/>
    </row>
    <row r="14" customFormat="false" ht="15" hidden="false" customHeight="false" outlineLevel="0" collapsed="false">
      <c r="B14" s="29" t="s">
        <v>377</v>
      </c>
      <c r="C14" s="96" t="n">
        <f aca="false">Capex!$I$65</f>
        <v>2215352500</v>
      </c>
      <c r="D14" s="96" t="n">
        <f aca="false">Capex!$J$65</f>
        <v>2513327500</v>
      </c>
      <c r="E14" s="26"/>
    </row>
    <row r="15" customFormat="false" ht="15" hidden="false" customHeight="false" outlineLevel="0" collapsed="false">
      <c r="B15" s="29" t="s">
        <v>378</v>
      </c>
      <c r="C15" s="96" t="n">
        <f aca="false">'Cash Flow'!$N$43</f>
        <v>0.321973236590696</v>
      </c>
      <c r="D15" s="96" t="n">
        <f aca="false">'Cash Flow'!$N$87</f>
        <v>0.321973236590696</v>
      </c>
      <c r="E15" s="26"/>
    </row>
    <row r="16" customFormat="false" ht="15" hidden="false" customHeight="false" outlineLevel="0" collapsed="false">
      <c r="B16" s="97" t="s">
        <v>379</v>
      </c>
      <c r="C16" s="96" t="n">
        <f aca="false">-1*$C$10+1*1*$C$7*(1-(Assumptions!$C$28+Assumptions!$C$29+Assumptions!$C$31+Assumptions!$C$30+Assumptions!$C$32))-1*$C$8-1*$C$9+CHOOSE(Assumptions!$C$60,$C$15*(1*1*$C$11*(1-(Assumptions!$C$28+Assumptions!$C$29+Assumptions!$C$31+Assumptions!$C$30))-1*$C$12-1*$C$13)*(1+Assumptions!$C$62)/Assumptions!$C$61*(1-Assumptions!$C$63),$C$15*(1*1*$C$11*(1-(Assumptions!$C$28+Assumptions!$C$29+Assumptions!$C$31+Assumptions!$C$30+Assumptions!$C$32))-1*$C$12-1*$C$13)*(1+Assumptions!$C$62)/(Assumptions!$C$59-Assumptions!$C$62)*(1-((1+Assumptions!$C$62)/(1+Assumptions!$C$59))^(Assumptions!$C$58-Assumptions!$C$57)),$C$15*1*$C$14,0)</f>
        <v>-1020578563.74661</v>
      </c>
      <c r="D16" s="96" t="n">
        <f aca="false">-1*$D$10+1*1*$D$7*(1-(Assumptions!$C$28+Assumptions!$C$29+Assumptions!$C$31+Assumptions!$C$30+Assumptions!$C$32))-1*$D$8-1*$D$9+CHOOSE(Assumptions!$C$60,$D$15*(1*1*$D$11*(1-(Assumptions!$C$28+Assumptions!$C$29+Assumptions!$C$31+Assumptions!$C$30))-1*$D$12-1*$D$13)*(1+Assumptions!$C$62)/Assumptions!$C$61*(1-Assumptions!$C$63),$D$15*(1*1*$D$11*(1-(Assumptions!$C$28+Assumptions!$C$29+Assumptions!$C$31+Assumptions!$C$30+Assumptions!$C$32))-1*$D$12-1*$D$13)*(1+Assumptions!$C$62)/(Assumptions!$C$59-Assumptions!$C$62)*(1-((1+Assumptions!$C$62)/(1+Assumptions!$C$59))^(Assumptions!$C$58-Assumptions!$C$57)),$D$15*1*$D$14,0)</f>
        <v>-272940437.211198</v>
      </c>
      <c r="E16" s="58" t="str">
        <f aca="false">IF(AND(ABS(C16-'Cash Flow'!$D$107)&lt;1,ABS(D16-'Cash Flow'!$E$107)&lt;1),"OK – matches","CHECK")</f>
        <v>OK – matches</v>
      </c>
    </row>
    <row r="18" customFormat="false" ht="15" hidden="false" customHeight="false" outlineLevel="0" collapsed="false">
      <c r="B18" s="8" t="s">
        <v>380</v>
      </c>
      <c r="C18" s="9"/>
      <c r="D18" s="9"/>
      <c r="E18" s="9"/>
      <c r="F18" s="9"/>
      <c r="G18" s="9"/>
      <c r="H18" s="9"/>
      <c r="I18" s="9"/>
      <c r="J18" s="9"/>
      <c r="K18" s="9"/>
    </row>
    <row r="19" customFormat="false" ht="15" hidden="false" customHeight="false" outlineLevel="0" collapsed="false">
      <c r="B19" s="32" t="s">
        <v>381</v>
      </c>
    </row>
    <row r="20" customFormat="false" ht="15" hidden="false" customHeight="false" outlineLevel="0" collapsed="false">
      <c r="B20" s="98" t="s">
        <v>382</v>
      </c>
      <c r="C20" s="99" t="n">
        <v>-0.15</v>
      </c>
      <c r="D20" s="99" t="n">
        <v>-0.1</v>
      </c>
      <c r="E20" s="99" t="n">
        <v>-0.05</v>
      </c>
      <c r="F20" s="99" t="n">
        <v>0</v>
      </c>
      <c r="G20" s="99" t="n">
        <v>0.05</v>
      </c>
      <c r="H20" s="99" t="n">
        <v>0.1</v>
      </c>
      <c r="I20" s="99" t="n">
        <v>0.15</v>
      </c>
    </row>
    <row r="21" customFormat="false" ht="15" hidden="false" customHeight="false" outlineLevel="0" collapsed="false">
      <c r="B21" s="100" t="n">
        <v>0.75</v>
      </c>
      <c r="C21" s="101" t="n">
        <f aca="false">-1*$D$10+(1+C$20)*($B21/Assumptions!$C$22)*$D$7*(1-(Assumptions!$C$28+Assumptions!$C$29+Assumptions!$C$31+Assumptions!$C$30+Assumptions!$C$32))-($B21/Assumptions!$C$22)*$D$8-1*$D$9+CHOOSE(Assumptions!$C$60,$D$15*((1+C$20)*($B21/Assumptions!$C$22)*$D$11*(1-(Assumptions!$C$28+Assumptions!$C$29+Assumptions!$C$31+Assumptions!$C$30))-($B21/Assumptions!$C$22)*$D$12-1*$D$13)*(1+Assumptions!$C$62)/Assumptions!$C$61*(1-Assumptions!$C$63),$D$15*((1+C$20)*($B21/Assumptions!$C$22)*$D$11*(1-(Assumptions!$C$28+Assumptions!$C$29+Assumptions!$C$31+Assumptions!$C$30+Assumptions!$C$32))-($B21/Assumptions!$C$22)*$D$12-1*$D$13)*(1+Assumptions!$C$62)/(Assumptions!$C$59-Assumptions!$C$62)*(1-((1+Assumptions!$C$62)/(1+Assumptions!$C$59))^(Assumptions!$C$58-Assumptions!$C$57)),$D$15*1*$D$14,0)</f>
        <v>-2302357389.73033</v>
      </c>
      <c r="D21" s="101" t="n">
        <f aca="false">-1*$D$10+(1+D$20)*($B21/Assumptions!$C$22)*$D$7*(1-(Assumptions!$C$28+Assumptions!$C$29+Assumptions!$C$31+Assumptions!$C$30+Assumptions!$C$32))-($B21/Assumptions!$C$22)*$D$8-1*$D$9+CHOOSE(Assumptions!$C$60,$D$15*((1+D$20)*($B21/Assumptions!$C$22)*$D$11*(1-(Assumptions!$C$28+Assumptions!$C$29+Assumptions!$C$31+Assumptions!$C$30))-($B21/Assumptions!$C$22)*$D$12-1*$D$13)*(1+Assumptions!$C$62)/Assumptions!$C$61*(1-Assumptions!$C$63),$D$15*((1+D$20)*($B21/Assumptions!$C$22)*$D$11*(1-(Assumptions!$C$28+Assumptions!$C$29+Assumptions!$C$31+Assumptions!$C$30+Assumptions!$C$32))-($B21/Assumptions!$C$22)*$D$12-1*$D$13)*(1+Assumptions!$C$62)/(Assumptions!$C$59-Assumptions!$C$62)*(1-((1+Assumptions!$C$62)/(1+Assumptions!$C$59))^(Assumptions!$C$58-Assumptions!$C$57)),$D$15*1*$D$14,0)</f>
        <v>-2000783012.52972</v>
      </c>
      <c r="E21" s="101" t="n">
        <f aca="false">-1*$D$10+(1+E$20)*($B21/Assumptions!$C$22)*$D$7*(1-(Assumptions!$C$28+Assumptions!$C$29+Assumptions!$C$31+Assumptions!$C$30+Assumptions!$C$32))-($B21/Assumptions!$C$22)*$D$8-1*$D$9+CHOOSE(Assumptions!$C$60,$D$15*((1+E$20)*($B21/Assumptions!$C$22)*$D$11*(1-(Assumptions!$C$28+Assumptions!$C$29+Assumptions!$C$31+Assumptions!$C$30))-($B21/Assumptions!$C$22)*$D$12-1*$D$13)*(1+Assumptions!$C$62)/Assumptions!$C$61*(1-Assumptions!$C$63),$D$15*((1+E$20)*($B21/Assumptions!$C$22)*$D$11*(1-(Assumptions!$C$28+Assumptions!$C$29+Assumptions!$C$31+Assumptions!$C$30+Assumptions!$C$32))-($B21/Assumptions!$C$22)*$D$12-1*$D$13)*(1+Assumptions!$C$62)/(Assumptions!$C$59-Assumptions!$C$62)*(1-((1+Assumptions!$C$62)/(1+Assumptions!$C$59))^(Assumptions!$C$58-Assumptions!$C$57)),$D$15*1*$D$14,0)</f>
        <v>-1699208635.3291</v>
      </c>
      <c r="F21" s="101" t="n">
        <f aca="false">-1*$D$10+(1+F$20)*($B21/Assumptions!$C$22)*$D$7*(1-(Assumptions!$C$28+Assumptions!$C$29+Assumptions!$C$31+Assumptions!$C$30+Assumptions!$C$32))-($B21/Assumptions!$C$22)*$D$8-1*$D$9+CHOOSE(Assumptions!$C$60,$D$15*((1+F$20)*($B21/Assumptions!$C$22)*$D$11*(1-(Assumptions!$C$28+Assumptions!$C$29+Assumptions!$C$31+Assumptions!$C$30))-($B21/Assumptions!$C$22)*$D$12-1*$D$13)*(1+Assumptions!$C$62)/Assumptions!$C$61*(1-Assumptions!$C$63),$D$15*((1+F$20)*($B21/Assumptions!$C$22)*$D$11*(1-(Assumptions!$C$28+Assumptions!$C$29+Assumptions!$C$31+Assumptions!$C$30+Assumptions!$C$32))-($B21/Assumptions!$C$22)*$D$12-1*$D$13)*(1+Assumptions!$C$62)/(Assumptions!$C$59-Assumptions!$C$62)*(1-((1+Assumptions!$C$62)/(1+Assumptions!$C$59))^(Assumptions!$C$58-Assumptions!$C$57)),$D$15*1*$D$14,0)</f>
        <v>-1397634258.12849</v>
      </c>
      <c r="G21" s="101" t="n">
        <f aca="false">-1*$D$10+(1+G$20)*($B21/Assumptions!$C$22)*$D$7*(1-(Assumptions!$C$28+Assumptions!$C$29+Assumptions!$C$31+Assumptions!$C$30+Assumptions!$C$32))-($B21/Assumptions!$C$22)*$D$8-1*$D$9+CHOOSE(Assumptions!$C$60,$D$15*((1+G$20)*($B21/Assumptions!$C$22)*$D$11*(1-(Assumptions!$C$28+Assumptions!$C$29+Assumptions!$C$31+Assumptions!$C$30))-($B21/Assumptions!$C$22)*$D$12-1*$D$13)*(1+Assumptions!$C$62)/Assumptions!$C$61*(1-Assumptions!$C$63),$D$15*((1+G$20)*($B21/Assumptions!$C$22)*$D$11*(1-(Assumptions!$C$28+Assumptions!$C$29+Assumptions!$C$31+Assumptions!$C$30+Assumptions!$C$32))-($B21/Assumptions!$C$22)*$D$12-1*$D$13)*(1+Assumptions!$C$62)/(Assumptions!$C$59-Assumptions!$C$62)*(1-((1+Assumptions!$C$62)/(1+Assumptions!$C$59))^(Assumptions!$C$58-Assumptions!$C$57)),$D$15*1*$D$14,0)</f>
        <v>-1096059880.92788</v>
      </c>
      <c r="H21" s="101" t="n">
        <f aca="false">-1*$D$10+(1+H$20)*($B21/Assumptions!$C$22)*$D$7*(1-(Assumptions!$C$28+Assumptions!$C$29+Assumptions!$C$31+Assumptions!$C$30+Assumptions!$C$32))-($B21/Assumptions!$C$22)*$D$8-1*$D$9+CHOOSE(Assumptions!$C$60,$D$15*((1+H$20)*($B21/Assumptions!$C$22)*$D$11*(1-(Assumptions!$C$28+Assumptions!$C$29+Assumptions!$C$31+Assumptions!$C$30))-($B21/Assumptions!$C$22)*$D$12-1*$D$13)*(1+Assumptions!$C$62)/Assumptions!$C$61*(1-Assumptions!$C$63),$D$15*((1+H$20)*($B21/Assumptions!$C$22)*$D$11*(1-(Assumptions!$C$28+Assumptions!$C$29+Assumptions!$C$31+Assumptions!$C$30+Assumptions!$C$32))-($B21/Assumptions!$C$22)*$D$12-1*$D$13)*(1+Assumptions!$C$62)/(Assumptions!$C$59-Assumptions!$C$62)*(1-((1+Assumptions!$C$62)/(1+Assumptions!$C$59))^(Assumptions!$C$58-Assumptions!$C$57)),$D$15*1*$D$14,0)</f>
        <v>-794485503.727265</v>
      </c>
      <c r="I21" s="101" t="n">
        <f aca="false">-1*$D$10+(1+I$20)*($B21/Assumptions!$C$22)*$D$7*(1-(Assumptions!$C$28+Assumptions!$C$29+Assumptions!$C$31+Assumptions!$C$30+Assumptions!$C$32))-($B21/Assumptions!$C$22)*$D$8-1*$D$9+CHOOSE(Assumptions!$C$60,$D$15*((1+I$20)*($B21/Assumptions!$C$22)*$D$11*(1-(Assumptions!$C$28+Assumptions!$C$29+Assumptions!$C$31+Assumptions!$C$30))-($B21/Assumptions!$C$22)*$D$12-1*$D$13)*(1+Assumptions!$C$62)/Assumptions!$C$61*(1-Assumptions!$C$63),$D$15*((1+I$20)*($B21/Assumptions!$C$22)*$D$11*(1-(Assumptions!$C$28+Assumptions!$C$29+Assumptions!$C$31+Assumptions!$C$30+Assumptions!$C$32))-($B21/Assumptions!$C$22)*$D$12-1*$D$13)*(1+Assumptions!$C$62)/(Assumptions!$C$59-Assumptions!$C$62)*(1-((1+Assumptions!$C$62)/(1+Assumptions!$C$59))^(Assumptions!$C$58-Assumptions!$C$57)),$D$15*1*$D$14,0)</f>
        <v>-492911126.526652</v>
      </c>
    </row>
    <row r="22" customFormat="false" ht="15" hidden="false" customHeight="false" outlineLevel="0" collapsed="false">
      <c r="B22" s="100" t="n">
        <v>0.8</v>
      </c>
      <c r="C22" s="101" t="n">
        <f aca="false">-1*$D$10+(1+C$20)*($B22/Assumptions!$C$22)*$D$7*(1-(Assumptions!$C$28+Assumptions!$C$29+Assumptions!$C$31+Assumptions!$C$30+Assumptions!$C$32))-($B22/Assumptions!$C$22)*$D$8-1*$D$9+CHOOSE(Assumptions!$C$60,$D$15*((1+C$20)*($B22/Assumptions!$C$22)*$D$11*(1-(Assumptions!$C$28+Assumptions!$C$29+Assumptions!$C$31+Assumptions!$C$30))-($B22/Assumptions!$C$22)*$D$12-1*$D$13)*(1+Assumptions!$C$62)/Assumptions!$C$61*(1-Assumptions!$C$63),$D$15*((1+C$20)*($B22/Assumptions!$C$22)*$D$11*(1-(Assumptions!$C$28+Assumptions!$C$29+Assumptions!$C$31+Assumptions!$C$30+Assumptions!$C$32))-($B22/Assumptions!$C$22)*$D$12-1*$D$13)*(1+Assumptions!$C$62)/(Assumptions!$C$59-Assumptions!$C$62)*(1-((1+Assumptions!$C$62)/(1+Assumptions!$C$59))^(Assumptions!$C$58-Assumptions!$C$57)),$D$15*1*$D$14,0)</f>
        <v>-1987774324.86469</v>
      </c>
      <c r="D22" s="101" t="n">
        <f aca="false">-1*$D$10+(1+D$20)*($B22/Assumptions!$C$22)*$D$7*(1-(Assumptions!$C$28+Assumptions!$C$29+Assumptions!$C$31+Assumptions!$C$30+Assumptions!$C$32))-($B22/Assumptions!$C$22)*$D$8-1*$D$9+CHOOSE(Assumptions!$C$60,$D$15*((1+D$20)*($B22/Assumptions!$C$22)*$D$11*(1-(Assumptions!$C$28+Assumptions!$C$29+Assumptions!$C$31+Assumptions!$C$30))-($B22/Assumptions!$C$22)*$D$12-1*$D$13)*(1+Assumptions!$C$62)/Assumptions!$C$61*(1-Assumptions!$C$63),$D$15*((1+D$20)*($B22/Assumptions!$C$22)*$D$11*(1-(Assumptions!$C$28+Assumptions!$C$29+Assumptions!$C$31+Assumptions!$C$30+Assumptions!$C$32))-($B22/Assumptions!$C$22)*$D$12-1*$D$13)*(1+Assumptions!$C$62)/(Assumptions!$C$59-Assumptions!$C$62)*(1-((1+Assumptions!$C$62)/(1+Assumptions!$C$59))^(Assumptions!$C$58-Assumptions!$C$57)),$D$15*1*$D$14,0)</f>
        <v>-1666094989.18403</v>
      </c>
      <c r="E22" s="101" t="n">
        <f aca="false">-1*$D$10+(1+E$20)*($B22/Assumptions!$C$22)*$D$7*(1-(Assumptions!$C$28+Assumptions!$C$29+Assumptions!$C$31+Assumptions!$C$30+Assumptions!$C$32))-($B22/Assumptions!$C$22)*$D$8-1*$D$9+CHOOSE(Assumptions!$C$60,$D$15*((1+E$20)*($B22/Assumptions!$C$22)*$D$11*(1-(Assumptions!$C$28+Assumptions!$C$29+Assumptions!$C$31+Assumptions!$C$30))-($B22/Assumptions!$C$22)*$D$12-1*$D$13)*(1+Assumptions!$C$62)/Assumptions!$C$61*(1-Assumptions!$C$63),$D$15*((1+E$20)*($B22/Assumptions!$C$22)*$D$11*(1-(Assumptions!$C$28+Assumptions!$C$29+Assumptions!$C$31+Assumptions!$C$30+Assumptions!$C$32))-($B22/Assumptions!$C$22)*$D$12-1*$D$13)*(1+Assumptions!$C$62)/(Assumptions!$C$59-Assumptions!$C$62)*(1-((1+Assumptions!$C$62)/(1+Assumptions!$C$59))^(Assumptions!$C$58-Assumptions!$C$57)),$D$15*1*$D$14,0)</f>
        <v>-1344415653.50338</v>
      </c>
      <c r="F22" s="101" t="n">
        <f aca="false">-1*$D$10+(1+F$20)*($B22/Assumptions!$C$22)*$D$7*(1-(Assumptions!$C$28+Assumptions!$C$29+Assumptions!$C$31+Assumptions!$C$30+Assumptions!$C$32))-($B22/Assumptions!$C$22)*$D$8-1*$D$9+CHOOSE(Assumptions!$C$60,$D$15*((1+F$20)*($B22/Assumptions!$C$22)*$D$11*(1-(Assumptions!$C$28+Assumptions!$C$29+Assumptions!$C$31+Assumptions!$C$30))-($B22/Assumptions!$C$22)*$D$12-1*$D$13)*(1+Assumptions!$C$62)/Assumptions!$C$61*(1-Assumptions!$C$63),$D$15*((1+F$20)*($B22/Assumptions!$C$22)*$D$11*(1-(Assumptions!$C$28+Assumptions!$C$29+Assumptions!$C$31+Assumptions!$C$30+Assumptions!$C$32))-($B22/Assumptions!$C$22)*$D$12-1*$D$13)*(1+Assumptions!$C$62)/(Assumptions!$C$59-Assumptions!$C$62)*(1-((1+Assumptions!$C$62)/(1+Assumptions!$C$59))^(Assumptions!$C$58-Assumptions!$C$57)),$D$15*1*$D$14,0)</f>
        <v>-1022736317.82273</v>
      </c>
      <c r="G22" s="101" t="n">
        <f aca="false">-1*$D$10+(1+G$20)*($B22/Assumptions!$C$22)*$D$7*(1-(Assumptions!$C$28+Assumptions!$C$29+Assumptions!$C$31+Assumptions!$C$30+Assumptions!$C$32))-($B22/Assumptions!$C$22)*$D$8-1*$D$9+CHOOSE(Assumptions!$C$60,$D$15*((1+G$20)*($B22/Assumptions!$C$22)*$D$11*(1-(Assumptions!$C$28+Assumptions!$C$29+Assumptions!$C$31+Assumptions!$C$30))-($B22/Assumptions!$C$22)*$D$12-1*$D$13)*(1+Assumptions!$C$62)/Assumptions!$C$61*(1-Assumptions!$C$63),$D$15*((1+G$20)*($B22/Assumptions!$C$22)*$D$11*(1-(Assumptions!$C$28+Assumptions!$C$29+Assumptions!$C$31+Assumptions!$C$30+Assumptions!$C$32))-($B22/Assumptions!$C$22)*$D$12-1*$D$13)*(1+Assumptions!$C$62)/(Assumptions!$C$59-Assumptions!$C$62)*(1-((1+Assumptions!$C$62)/(1+Assumptions!$C$59))^(Assumptions!$C$58-Assumptions!$C$57)),$D$15*1*$D$14,0)</f>
        <v>-701056982.142072</v>
      </c>
      <c r="H22" s="101" t="n">
        <f aca="false">-1*$D$10+(1+H$20)*($B22/Assumptions!$C$22)*$D$7*(1-(Assumptions!$C$28+Assumptions!$C$29+Assumptions!$C$31+Assumptions!$C$30+Assumptions!$C$32))-($B22/Assumptions!$C$22)*$D$8-1*$D$9+CHOOSE(Assumptions!$C$60,$D$15*((1+H$20)*($B22/Assumptions!$C$22)*$D$11*(1-(Assumptions!$C$28+Assumptions!$C$29+Assumptions!$C$31+Assumptions!$C$30))-($B22/Assumptions!$C$22)*$D$12-1*$D$13)*(1+Assumptions!$C$62)/Assumptions!$C$61*(1-Assumptions!$C$63),$D$15*((1+H$20)*($B22/Assumptions!$C$22)*$D$11*(1-(Assumptions!$C$28+Assumptions!$C$29+Assumptions!$C$31+Assumptions!$C$30+Assumptions!$C$32))-($B22/Assumptions!$C$22)*$D$12-1*$D$13)*(1+Assumptions!$C$62)/(Assumptions!$C$59-Assumptions!$C$62)*(1-((1+Assumptions!$C$62)/(1+Assumptions!$C$59))^(Assumptions!$C$58-Assumptions!$C$57)),$D$15*1*$D$14,0)</f>
        <v>-379377646.461417</v>
      </c>
      <c r="I22" s="101" t="n">
        <f aca="false">-1*$D$10+(1+I$20)*($B22/Assumptions!$C$22)*$D$7*(1-(Assumptions!$C$28+Assumptions!$C$29+Assumptions!$C$31+Assumptions!$C$30+Assumptions!$C$32))-($B22/Assumptions!$C$22)*$D$8-1*$D$9+CHOOSE(Assumptions!$C$60,$D$15*((1+I$20)*($B22/Assumptions!$C$22)*$D$11*(1-(Assumptions!$C$28+Assumptions!$C$29+Assumptions!$C$31+Assumptions!$C$30))-($B22/Assumptions!$C$22)*$D$12-1*$D$13)*(1+Assumptions!$C$62)/Assumptions!$C$61*(1-Assumptions!$C$63),$D$15*((1+I$20)*($B22/Assumptions!$C$22)*$D$11*(1-(Assumptions!$C$28+Assumptions!$C$29+Assumptions!$C$31+Assumptions!$C$30+Assumptions!$C$32))-($B22/Assumptions!$C$22)*$D$12-1*$D$13)*(1+Assumptions!$C$62)/(Assumptions!$C$59-Assumptions!$C$62)*(1-((1+Assumptions!$C$62)/(1+Assumptions!$C$59))^(Assumptions!$C$58-Assumptions!$C$57)),$D$15*1*$D$14,0)</f>
        <v>-57698310.7807653</v>
      </c>
    </row>
    <row r="23" customFormat="false" ht="15" hidden="false" customHeight="false" outlineLevel="0" collapsed="false">
      <c r="B23" s="100" t="n">
        <v>0.85</v>
      </c>
      <c r="C23" s="101" t="n">
        <f aca="false">-1*$D$10+(1+C$20)*($B23/Assumptions!$C$22)*$D$7*(1-(Assumptions!$C$28+Assumptions!$C$29+Assumptions!$C$31+Assumptions!$C$30+Assumptions!$C$32))-($B23/Assumptions!$C$22)*$D$8-1*$D$9+CHOOSE(Assumptions!$C$60,$D$15*((1+C$20)*($B23/Assumptions!$C$22)*$D$11*(1-(Assumptions!$C$28+Assumptions!$C$29+Assumptions!$C$31+Assumptions!$C$30))-($B23/Assumptions!$C$22)*$D$12-1*$D$13)*(1+Assumptions!$C$62)/Assumptions!$C$61*(1-Assumptions!$C$63),$D$15*((1+C$20)*($B23/Assumptions!$C$22)*$D$11*(1-(Assumptions!$C$28+Assumptions!$C$29+Assumptions!$C$31+Assumptions!$C$30+Assumptions!$C$32))-($B23/Assumptions!$C$22)*$D$12-1*$D$13)*(1+Assumptions!$C$62)/(Assumptions!$C$59-Assumptions!$C$62)*(1-((1+Assumptions!$C$62)/(1+Assumptions!$C$59))^(Assumptions!$C$58-Assumptions!$C$57)),$D$15*1*$D$14,0)</f>
        <v>-1673191259.99905</v>
      </c>
      <c r="D23" s="101" t="n">
        <f aca="false">-1*$D$10+(1+D$20)*($B23/Assumptions!$C$22)*$D$7*(1-(Assumptions!$C$28+Assumptions!$C$29+Assumptions!$C$31+Assumptions!$C$30+Assumptions!$C$32))-($B23/Assumptions!$C$22)*$D$8-1*$D$9+CHOOSE(Assumptions!$C$60,$D$15*((1+D$20)*($B23/Assumptions!$C$22)*$D$11*(1-(Assumptions!$C$28+Assumptions!$C$29+Assumptions!$C$31+Assumptions!$C$30))-($B23/Assumptions!$C$22)*$D$12-1*$D$13)*(1+Assumptions!$C$62)/Assumptions!$C$61*(1-Assumptions!$C$63),$D$15*((1+D$20)*($B23/Assumptions!$C$22)*$D$11*(1-(Assumptions!$C$28+Assumptions!$C$29+Assumptions!$C$31+Assumptions!$C$30+Assumptions!$C$32))-($B23/Assumptions!$C$22)*$D$12-1*$D$13)*(1+Assumptions!$C$62)/(Assumptions!$C$59-Assumptions!$C$62)*(1-((1+Assumptions!$C$62)/(1+Assumptions!$C$59))^(Assumptions!$C$58-Assumptions!$C$57)),$D$15*1*$D$14,0)</f>
        <v>-1331406965.83835</v>
      </c>
      <c r="E23" s="101" t="n">
        <f aca="false">-1*$D$10+(1+E$20)*($B23/Assumptions!$C$22)*$D$7*(1-(Assumptions!$C$28+Assumptions!$C$29+Assumptions!$C$31+Assumptions!$C$30+Assumptions!$C$32))-($B23/Assumptions!$C$22)*$D$8-1*$D$9+CHOOSE(Assumptions!$C$60,$D$15*((1+E$20)*($B23/Assumptions!$C$22)*$D$11*(1-(Assumptions!$C$28+Assumptions!$C$29+Assumptions!$C$31+Assumptions!$C$30))-($B23/Assumptions!$C$22)*$D$12-1*$D$13)*(1+Assumptions!$C$62)/Assumptions!$C$61*(1-Assumptions!$C$63),$D$15*((1+E$20)*($B23/Assumptions!$C$22)*$D$11*(1-(Assumptions!$C$28+Assumptions!$C$29+Assumptions!$C$31+Assumptions!$C$30+Assumptions!$C$32))-($B23/Assumptions!$C$22)*$D$12-1*$D$13)*(1+Assumptions!$C$62)/(Assumptions!$C$59-Assumptions!$C$62)*(1-((1+Assumptions!$C$62)/(1+Assumptions!$C$59))^(Assumptions!$C$58-Assumptions!$C$57)),$D$15*1*$D$14,0)</f>
        <v>-989622671.677658</v>
      </c>
      <c r="F23" s="101" t="n">
        <f aca="false">-1*$D$10+(1+F$20)*($B23/Assumptions!$C$22)*$D$7*(1-(Assumptions!$C$28+Assumptions!$C$29+Assumptions!$C$31+Assumptions!$C$30+Assumptions!$C$32))-($B23/Assumptions!$C$22)*$D$8-1*$D$9+CHOOSE(Assumptions!$C$60,$D$15*((1+F$20)*($B23/Assumptions!$C$22)*$D$11*(1-(Assumptions!$C$28+Assumptions!$C$29+Assumptions!$C$31+Assumptions!$C$30))-($B23/Assumptions!$C$22)*$D$12-1*$D$13)*(1+Assumptions!$C$62)/Assumptions!$C$61*(1-Assumptions!$C$63),$D$15*((1+F$20)*($B23/Assumptions!$C$22)*$D$11*(1-(Assumptions!$C$28+Assumptions!$C$29+Assumptions!$C$31+Assumptions!$C$30+Assumptions!$C$32))-($B23/Assumptions!$C$22)*$D$12-1*$D$13)*(1+Assumptions!$C$62)/(Assumptions!$C$59-Assumptions!$C$62)*(1-((1+Assumptions!$C$62)/(1+Assumptions!$C$59))^(Assumptions!$C$58-Assumptions!$C$57)),$D$15*1*$D$14,0)</f>
        <v>-647838377.516962</v>
      </c>
      <c r="G23" s="101" t="n">
        <f aca="false">-1*$D$10+(1+G$20)*($B23/Assumptions!$C$22)*$D$7*(1-(Assumptions!$C$28+Assumptions!$C$29+Assumptions!$C$31+Assumptions!$C$30+Assumptions!$C$32))-($B23/Assumptions!$C$22)*$D$8-1*$D$9+CHOOSE(Assumptions!$C$60,$D$15*((1+G$20)*($B23/Assumptions!$C$22)*$D$11*(1-(Assumptions!$C$28+Assumptions!$C$29+Assumptions!$C$31+Assumptions!$C$30))-($B23/Assumptions!$C$22)*$D$12-1*$D$13)*(1+Assumptions!$C$62)/Assumptions!$C$61*(1-Assumptions!$C$63),$D$15*((1+G$20)*($B23/Assumptions!$C$22)*$D$11*(1-(Assumptions!$C$28+Assumptions!$C$29+Assumptions!$C$31+Assumptions!$C$30+Assumptions!$C$32))-($B23/Assumptions!$C$22)*$D$12-1*$D$13)*(1+Assumptions!$C$62)/(Assumptions!$C$59-Assumptions!$C$62)*(1-((1+Assumptions!$C$62)/(1+Assumptions!$C$59))^(Assumptions!$C$58-Assumptions!$C$57)),$D$15*1*$D$14,0)</f>
        <v>-306054083.356267</v>
      </c>
      <c r="H23" s="101" t="n">
        <f aca="false">-1*$D$10+(1+H$20)*($B23/Assumptions!$C$22)*$D$7*(1-(Assumptions!$C$28+Assumptions!$C$29+Assumptions!$C$31+Assumptions!$C$30+Assumptions!$C$32))-($B23/Assumptions!$C$22)*$D$8-1*$D$9+CHOOSE(Assumptions!$C$60,$D$15*((1+H$20)*($B23/Assumptions!$C$22)*$D$11*(1-(Assumptions!$C$28+Assumptions!$C$29+Assumptions!$C$31+Assumptions!$C$30))-($B23/Assumptions!$C$22)*$D$12-1*$D$13)*(1+Assumptions!$C$62)/Assumptions!$C$61*(1-Assumptions!$C$63),$D$15*((1+H$20)*($B23/Assumptions!$C$22)*$D$11*(1-(Assumptions!$C$28+Assumptions!$C$29+Assumptions!$C$31+Assumptions!$C$30+Assumptions!$C$32))-($B23/Assumptions!$C$22)*$D$12-1*$D$13)*(1+Assumptions!$C$62)/(Assumptions!$C$59-Assumptions!$C$62)*(1-((1+Assumptions!$C$62)/(1+Assumptions!$C$59))^(Assumptions!$C$58-Assumptions!$C$57)),$D$15*1*$D$14,0)</f>
        <v>35730210.8044283</v>
      </c>
      <c r="I23" s="101" t="n">
        <f aca="false">-1*$D$10+(1+I$20)*($B23/Assumptions!$C$22)*$D$7*(1-(Assumptions!$C$28+Assumptions!$C$29+Assumptions!$C$31+Assumptions!$C$30+Assumptions!$C$32))-($B23/Assumptions!$C$22)*$D$8-1*$D$9+CHOOSE(Assumptions!$C$60,$D$15*((1+I$20)*($B23/Assumptions!$C$22)*$D$11*(1-(Assumptions!$C$28+Assumptions!$C$29+Assumptions!$C$31+Assumptions!$C$30))-($B23/Assumptions!$C$22)*$D$12-1*$D$13)*(1+Assumptions!$C$62)/Assumptions!$C$61*(1-Assumptions!$C$63),$D$15*((1+I$20)*($B23/Assumptions!$C$22)*$D$11*(1-(Assumptions!$C$28+Assumptions!$C$29+Assumptions!$C$31+Assumptions!$C$30+Assumptions!$C$32))-($B23/Assumptions!$C$22)*$D$12-1*$D$13)*(1+Assumptions!$C$62)/(Assumptions!$C$59-Assumptions!$C$62)*(1-((1+Assumptions!$C$62)/(1+Assumptions!$C$59))^(Assumptions!$C$58-Assumptions!$C$57)),$D$15*1*$D$14,0)</f>
        <v>377514504.965122</v>
      </c>
    </row>
    <row r="24" customFormat="false" ht="15" hidden="false" customHeight="false" outlineLevel="0" collapsed="false">
      <c r="B24" s="100" t="n">
        <v>0.9</v>
      </c>
      <c r="C24" s="101" t="n">
        <f aca="false">-1*$D$10+(1+C$20)*($B24/Assumptions!$C$22)*$D$7*(1-(Assumptions!$C$28+Assumptions!$C$29+Assumptions!$C$31+Assumptions!$C$30+Assumptions!$C$32))-($B24/Assumptions!$C$22)*$D$8-1*$D$9+CHOOSE(Assumptions!$C$60,$D$15*((1+C$20)*($B24/Assumptions!$C$22)*$D$11*(1-(Assumptions!$C$28+Assumptions!$C$29+Assumptions!$C$31+Assumptions!$C$30))-($B24/Assumptions!$C$22)*$D$12-1*$D$13)*(1+Assumptions!$C$62)/Assumptions!$C$61*(1-Assumptions!$C$63),$D$15*((1+C$20)*($B24/Assumptions!$C$22)*$D$11*(1-(Assumptions!$C$28+Assumptions!$C$29+Assumptions!$C$31+Assumptions!$C$30+Assumptions!$C$32))-($B24/Assumptions!$C$22)*$D$12-1*$D$13)*(1+Assumptions!$C$62)/(Assumptions!$C$59-Assumptions!$C$62)*(1-((1+Assumptions!$C$62)/(1+Assumptions!$C$59))^(Assumptions!$C$58-Assumptions!$C$57)),$D$15*1*$D$14,0)</f>
        <v>-1358608195.13341</v>
      </c>
      <c r="D24" s="101" t="n">
        <f aca="false">-1*$D$10+(1+D$20)*($B24/Assumptions!$C$22)*$D$7*(1-(Assumptions!$C$28+Assumptions!$C$29+Assumptions!$C$31+Assumptions!$C$30+Assumptions!$C$32))-($B24/Assumptions!$C$22)*$D$8-1*$D$9+CHOOSE(Assumptions!$C$60,$D$15*((1+D$20)*($B24/Assumptions!$C$22)*$D$11*(1-(Assumptions!$C$28+Assumptions!$C$29+Assumptions!$C$31+Assumptions!$C$30))-($B24/Assumptions!$C$22)*$D$12-1*$D$13)*(1+Assumptions!$C$62)/Assumptions!$C$61*(1-Assumptions!$C$63),$D$15*((1+D$20)*($B24/Assumptions!$C$22)*$D$11*(1-(Assumptions!$C$28+Assumptions!$C$29+Assumptions!$C$31+Assumptions!$C$30+Assumptions!$C$32))-($B24/Assumptions!$C$22)*$D$12-1*$D$13)*(1+Assumptions!$C$62)/(Assumptions!$C$59-Assumptions!$C$62)*(1-((1+Assumptions!$C$62)/(1+Assumptions!$C$59))^(Assumptions!$C$58-Assumptions!$C$57)),$D$15*1*$D$14,0)</f>
        <v>-996718942.492669</v>
      </c>
      <c r="E24" s="101" t="n">
        <f aca="false">-1*$D$10+(1+E$20)*($B24/Assumptions!$C$22)*$D$7*(1-(Assumptions!$C$28+Assumptions!$C$29+Assumptions!$C$31+Assumptions!$C$30+Assumptions!$C$32))-($B24/Assumptions!$C$22)*$D$8-1*$D$9+CHOOSE(Assumptions!$C$60,$D$15*((1+E$20)*($B24/Assumptions!$C$22)*$D$11*(1-(Assumptions!$C$28+Assumptions!$C$29+Assumptions!$C$31+Assumptions!$C$30))-($B24/Assumptions!$C$22)*$D$12-1*$D$13)*(1+Assumptions!$C$62)/Assumptions!$C$61*(1-Assumptions!$C$63),$D$15*((1+E$20)*($B24/Assumptions!$C$22)*$D$11*(1-(Assumptions!$C$28+Assumptions!$C$29+Assumptions!$C$31+Assumptions!$C$30+Assumptions!$C$32))-($B24/Assumptions!$C$22)*$D$12-1*$D$13)*(1+Assumptions!$C$62)/(Assumptions!$C$59-Assumptions!$C$62)*(1-((1+Assumptions!$C$62)/(1+Assumptions!$C$59))^(Assumptions!$C$58-Assumptions!$C$57)),$D$15*1*$D$14,0)</f>
        <v>-634829689.851934</v>
      </c>
      <c r="F24" s="102" t="n">
        <f aca="false">-1*$D$10+(1+F$20)*($B24/Assumptions!$C$22)*$D$7*(1-(Assumptions!$C$28+Assumptions!$C$29+Assumptions!$C$31+Assumptions!$C$30+Assumptions!$C$32))-($B24/Assumptions!$C$22)*$D$8-1*$D$9+CHOOSE(Assumptions!$C$60,$D$15*((1+F$20)*($B24/Assumptions!$C$22)*$D$11*(1-(Assumptions!$C$28+Assumptions!$C$29+Assumptions!$C$31+Assumptions!$C$30))-($B24/Assumptions!$C$22)*$D$12-1*$D$13)*(1+Assumptions!$C$62)/Assumptions!$C$61*(1-Assumptions!$C$63),$D$15*((1+F$20)*($B24/Assumptions!$C$22)*$D$11*(1-(Assumptions!$C$28+Assumptions!$C$29+Assumptions!$C$31+Assumptions!$C$30+Assumptions!$C$32))-($B24/Assumptions!$C$22)*$D$12-1*$D$13)*(1+Assumptions!$C$62)/(Assumptions!$C$59-Assumptions!$C$62)*(1-((1+Assumptions!$C$62)/(1+Assumptions!$C$59))^(Assumptions!$C$58-Assumptions!$C$57)),$D$15*1*$D$14,0)</f>
        <v>-272940437.211198</v>
      </c>
      <c r="G24" s="101" t="n">
        <f aca="false">-1*$D$10+(1+G$20)*($B24/Assumptions!$C$22)*$D$7*(1-(Assumptions!$C$28+Assumptions!$C$29+Assumptions!$C$31+Assumptions!$C$30+Assumptions!$C$32))-($B24/Assumptions!$C$22)*$D$8-1*$D$9+CHOOSE(Assumptions!$C$60,$D$15*((1+G$20)*($B24/Assumptions!$C$22)*$D$11*(1-(Assumptions!$C$28+Assumptions!$C$29+Assumptions!$C$31+Assumptions!$C$30))-($B24/Assumptions!$C$22)*$D$12-1*$D$13)*(1+Assumptions!$C$62)/Assumptions!$C$61*(1-Assumptions!$C$63),$D$15*((1+G$20)*($B24/Assumptions!$C$22)*$D$11*(1-(Assumptions!$C$28+Assumptions!$C$29+Assumptions!$C$31+Assumptions!$C$30+Assumptions!$C$32))-($B24/Assumptions!$C$22)*$D$12-1*$D$13)*(1+Assumptions!$C$62)/(Assumptions!$C$59-Assumptions!$C$62)*(1-((1+Assumptions!$C$62)/(1+Assumptions!$C$59))^(Assumptions!$C$58-Assumptions!$C$57)),$D$15*1*$D$14,0)</f>
        <v>88948815.4295385</v>
      </c>
      <c r="H24" s="101" t="n">
        <f aca="false">-1*$D$10+(1+H$20)*($B24/Assumptions!$C$22)*$D$7*(1-(Assumptions!$C$28+Assumptions!$C$29+Assumptions!$C$31+Assumptions!$C$30+Assumptions!$C$32))-($B24/Assumptions!$C$22)*$D$8-1*$D$9+CHOOSE(Assumptions!$C$60,$D$15*((1+H$20)*($B24/Assumptions!$C$22)*$D$11*(1-(Assumptions!$C$28+Assumptions!$C$29+Assumptions!$C$31+Assumptions!$C$30))-($B24/Assumptions!$C$22)*$D$12-1*$D$13)*(1+Assumptions!$C$62)/Assumptions!$C$61*(1-Assumptions!$C$63),$D$15*((1+H$20)*($B24/Assumptions!$C$22)*$D$11*(1-(Assumptions!$C$28+Assumptions!$C$29+Assumptions!$C$31+Assumptions!$C$30+Assumptions!$C$32))-($B24/Assumptions!$C$22)*$D$12-1*$D$13)*(1+Assumptions!$C$62)/(Assumptions!$C$59-Assumptions!$C$62)*(1-((1+Assumptions!$C$62)/(1+Assumptions!$C$59))^(Assumptions!$C$58-Assumptions!$C$57)),$D$15*1*$D$14,0)</f>
        <v>450838068.070273</v>
      </c>
      <c r="I24" s="101" t="n">
        <f aca="false">-1*$D$10+(1+I$20)*($B24/Assumptions!$C$22)*$D$7*(1-(Assumptions!$C$28+Assumptions!$C$29+Assumptions!$C$31+Assumptions!$C$30+Assumptions!$C$32))-($B24/Assumptions!$C$22)*$D$8-1*$D$9+CHOOSE(Assumptions!$C$60,$D$15*((1+I$20)*($B24/Assumptions!$C$22)*$D$11*(1-(Assumptions!$C$28+Assumptions!$C$29+Assumptions!$C$31+Assumptions!$C$30))-($B24/Assumptions!$C$22)*$D$12-1*$D$13)*(1+Assumptions!$C$62)/Assumptions!$C$61*(1-Assumptions!$C$63),$D$15*((1+I$20)*($B24/Assumptions!$C$22)*$D$11*(1-(Assumptions!$C$28+Assumptions!$C$29+Assumptions!$C$31+Assumptions!$C$30+Assumptions!$C$32))-($B24/Assumptions!$C$22)*$D$12-1*$D$13)*(1+Assumptions!$C$62)/(Assumptions!$C$59-Assumptions!$C$62)*(1-((1+Assumptions!$C$62)/(1+Assumptions!$C$59))^(Assumptions!$C$58-Assumptions!$C$57)),$D$15*1*$D$14,0)</f>
        <v>812727320.711009</v>
      </c>
    </row>
    <row r="25" customFormat="false" ht="15" hidden="false" customHeight="false" outlineLevel="0" collapsed="false">
      <c r="B25" s="100" t="n">
        <v>0.95</v>
      </c>
      <c r="C25" s="101" t="n">
        <f aca="false">-1*$D$10+(1+C$20)*($B25/Assumptions!$C$22)*$D$7*(1-(Assumptions!$C$28+Assumptions!$C$29+Assumptions!$C$31+Assumptions!$C$30+Assumptions!$C$32))-($B25/Assumptions!$C$22)*$D$8-1*$D$9+CHOOSE(Assumptions!$C$60,$D$15*((1+C$20)*($B25/Assumptions!$C$22)*$D$11*(1-(Assumptions!$C$28+Assumptions!$C$29+Assumptions!$C$31+Assumptions!$C$30))-($B25/Assumptions!$C$22)*$D$12-1*$D$13)*(1+Assumptions!$C$62)/Assumptions!$C$61*(1-Assumptions!$C$63),$D$15*((1+C$20)*($B25/Assumptions!$C$22)*$D$11*(1-(Assumptions!$C$28+Assumptions!$C$29+Assumptions!$C$31+Assumptions!$C$30+Assumptions!$C$32))-($B25/Assumptions!$C$22)*$D$12-1*$D$13)*(1+Assumptions!$C$62)/(Assumptions!$C$59-Assumptions!$C$62)*(1-((1+Assumptions!$C$62)/(1+Assumptions!$C$59))^(Assumptions!$C$58-Assumptions!$C$57)),$D$15*1*$D$14,0)</f>
        <v>-1044025130.26776</v>
      </c>
      <c r="D25" s="101" t="n">
        <f aca="false">-1*$D$10+(1+D$20)*($B25/Assumptions!$C$22)*$D$7*(1-(Assumptions!$C$28+Assumptions!$C$29+Assumptions!$C$31+Assumptions!$C$30+Assumptions!$C$32))-($B25/Assumptions!$C$22)*$D$8-1*$D$9+CHOOSE(Assumptions!$C$60,$D$15*((1+D$20)*($B25/Assumptions!$C$22)*$D$11*(1-(Assumptions!$C$28+Assumptions!$C$29+Assumptions!$C$31+Assumptions!$C$30))-($B25/Assumptions!$C$22)*$D$12-1*$D$13)*(1+Assumptions!$C$62)/Assumptions!$C$61*(1-Assumptions!$C$63),$D$15*((1+D$20)*($B25/Assumptions!$C$22)*$D$11*(1-(Assumptions!$C$28+Assumptions!$C$29+Assumptions!$C$31+Assumptions!$C$30+Assumptions!$C$32))-($B25/Assumptions!$C$22)*$D$12-1*$D$13)*(1+Assumptions!$C$62)/(Assumptions!$C$59-Assumptions!$C$62)*(1-((1+Assumptions!$C$62)/(1+Assumptions!$C$59))^(Assumptions!$C$58-Assumptions!$C$57)),$D$15*1*$D$14,0)</f>
        <v>-662030919.146987</v>
      </c>
      <c r="E25" s="101" t="n">
        <f aca="false">-1*$D$10+(1+E$20)*($B25/Assumptions!$C$22)*$D$7*(1-(Assumptions!$C$28+Assumptions!$C$29+Assumptions!$C$31+Assumptions!$C$30+Assumptions!$C$32))-($B25/Assumptions!$C$22)*$D$8-1*$D$9+CHOOSE(Assumptions!$C$60,$D$15*((1+E$20)*($B25/Assumptions!$C$22)*$D$11*(1-(Assumptions!$C$28+Assumptions!$C$29+Assumptions!$C$31+Assumptions!$C$30))-($B25/Assumptions!$C$22)*$D$12-1*$D$13)*(1+Assumptions!$C$62)/Assumptions!$C$61*(1-Assumptions!$C$63),$D$15*((1+E$20)*($B25/Assumptions!$C$22)*$D$11*(1-(Assumptions!$C$28+Assumptions!$C$29+Assumptions!$C$31+Assumptions!$C$30+Assumptions!$C$32))-($B25/Assumptions!$C$22)*$D$12-1*$D$13)*(1+Assumptions!$C$62)/(Assumptions!$C$59-Assumptions!$C$62)*(1-((1+Assumptions!$C$62)/(1+Assumptions!$C$59))^(Assumptions!$C$58-Assumptions!$C$57)),$D$15*1*$D$14,0)</f>
        <v>-280036708.026211</v>
      </c>
      <c r="F25" s="101" t="n">
        <f aca="false">-1*$D$10+(1+F$20)*($B25/Assumptions!$C$22)*$D$7*(1-(Assumptions!$C$28+Assumptions!$C$29+Assumptions!$C$31+Assumptions!$C$30+Assumptions!$C$32))-($B25/Assumptions!$C$22)*$D$8-1*$D$9+CHOOSE(Assumptions!$C$60,$D$15*((1+F$20)*($B25/Assumptions!$C$22)*$D$11*(1-(Assumptions!$C$28+Assumptions!$C$29+Assumptions!$C$31+Assumptions!$C$30))-($B25/Assumptions!$C$22)*$D$12-1*$D$13)*(1+Assumptions!$C$62)/Assumptions!$C$61*(1-Assumptions!$C$63),$D$15*((1+F$20)*($B25/Assumptions!$C$22)*$D$11*(1-(Assumptions!$C$28+Assumptions!$C$29+Assumptions!$C$31+Assumptions!$C$30+Assumptions!$C$32))-($B25/Assumptions!$C$22)*$D$12-1*$D$13)*(1+Assumptions!$C$62)/(Assumptions!$C$59-Assumptions!$C$62)*(1-((1+Assumptions!$C$62)/(1+Assumptions!$C$59))^(Assumptions!$C$58-Assumptions!$C$57)),$D$15*1*$D$14,0)</f>
        <v>101957503.094566</v>
      </c>
      <c r="G25" s="101" t="n">
        <f aca="false">-1*$D$10+(1+G$20)*($B25/Assumptions!$C$22)*$D$7*(1-(Assumptions!$C$28+Assumptions!$C$29+Assumptions!$C$31+Assumptions!$C$30+Assumptions!$C$32))-($B25/Assumptions!$C$22)*$D$8-1*$D$9+CHOOSE(Assumptions!$C$60,$D$15*((1+G$20)*($B25/Assumptions!$C$22)*$D$11*(1-(Assumptions!$C$28+Assumptions!$C$29+Assumptions!$C$31+Assumptions!$C$30))-($B25/Assumptions!$C$22)*$D$12-1*$D$13)*(1+Assumptions!$C$62)/Assumptions!$C$61*(1-Assumptions!$C$63),$D$15*((1+G$20)*($B25/Assumptions!$C$22)*$D$11*(1-(Assumptions!$C$28+Assumptions!$C$29+Assumptions!$C$31+Assumptions!$C$30+Assumptions!$C$32))-($B25/Assumptions!$C$22)*$D$12-1*$D$13)*(1+Assumptions!$C$62)/(Assumptions!$C$59-Assumptions!$C$62)*(1-((1+Assumptions!$C$62)/(1+Assumptions!$C$59))^(Assumptions!$C$58-Assumptions!$C$57)),$D$15*1*$D$14,0)</f>
        <v>483951714.215344</v>
      </c>
      <c r="H25" s="101" t="n">
        <f aca="false">-1*$D$10+(1+H$20)*($B25/Assumptions!$C$22)*$D$7*(1-(Assumptions!$C$28+Assumptions!$C$29+Assumptions!$C$31+Assumptions!$C$30+Assumptions!$C$32))-($B25/Assumptions!$C$22)*$D$8-1*$D$9+CHOOSE(Assumptions!$C$60,$D$15*((1+H$20)*($B25/Assumptions!$C$22)*$D$11*(1-(Assumptions!$C$28+Assumptions!$C$29+Assumptions!$C$31+Assumptions!$C$30))-($B25/Assumptions!$C$22)*$D$12-1*$D$13)*(1+Assumptions!$C$62)/Assumptions!$C$61*(1-Assumptions!$C$63),$D$15*((1+H$20)*($B25/Assumptions!$C$22)*$D$11*(1-(Assumptions!$C$28+Assumptions!$C$29+Assumptions!$C$31+Assumptions!$C$30+Assumptions!$C$32))-($B25/Assumptions!$C$22)*$D$12-1*$D$13)*(1+Assumptions!$C$62)/(Assumptions!$C$59-Assumptions!$C$62)*(1-((1+Assumptions!$C$62)/(1+Assumptions!$C$59))^(Assumptions!$C$58-Assumptions!$C$57)),$D$15*1*$D$14,0)</f>
        <v>865945925.336121</v>
      </c>
      <c r="I25" s="101" t="n">
        <f aca="false">-1*$D$10+(1+I$20)*($B25/Assumptions!$C$22)*$D$7*(1-(Assumptions!$C$28+Assumptions!$C$29+Assumptions!$C$31+Assumptions!$C$30+Assumptions!$C$32))-($B25/Assumptions!$C$22)*$D$8-1*$D$9+CHOOSE(Assumptions!$C$60,$D$15*((1+I$20)*($B25/Assumptions!$C$22)*$D$11*(1-(Assumptions!$C$28+Assumptions!$C$29+Assumptions!$C$31+Assumptions!$C$30))-($B25/Assumptions!$C$22)*$D$12-1*$D$13)*(1+Assumptions!$C$62)/Assumptions!$C$61*(1-Assumptions!$C$63),$D$15*((1+I$20)*($B25/Assumptions!$C$22)*$D$11*(1-(Assumptions!$C$28+Assumptions!$C$29+Assumptions!$C$31+Assumptions!$C$30+Assumptions!$C$32))-($B25/Assumptions!$C$22)*$D$12-1*$D$13)*(1+Assumptions!$C$62)/(Assumptions!$C$59-Assumptions!$C$62)*(1-((1+Assumptions!$C$62)/(1+Assumptions!$C$59))^(Assumptions!$C$58-Assumptions!$C$57)),$D$15*1*$D$14,0)</f>
        <v>1247940136.45689</v>
      </c>
    </row>
    <row r="27" customFormat="false" ht="15" hidden="false" customHeight="false" outlineLevel="0" collapsed="false">
      <c r="B27" s="8" t="s">
        <v>383</v>
      </c>
      <c r="C27" s="9"/>
      <c r="D27" s="9"/>
      <c r="E27" s="9"/>
      <c r="F27" s="9"/>
      <c r="G27" s="9"/>
      <c r="H27" s="9"/>
      <c r="I27" s="9"/>
      <c r="J27" s="9"/>
      <c r="K27" s="9"/>
    </row>
    <row r="28" customFormat="false" ht="15" hidden="false" customHeight="false" outlineLevel="0" collapsed="false">
      <c r="B28" s="32" t="s">
        <v>384</v>
      </c>
    </row>
    <row r="29" customFormat="false" ht="15" hidden="false" customHeight="false" outlineLevel="0" collapsed="false">
      <c r="B29" s="98" t="s">
        <v>382</v>
      </c>
      <c r="C29" s="99" t="n">
        <v>-0.15</v>
      </c>
      <c r="D29" s="99" t="n">
        <v>-0.1</v>
      </c>
      <c r="E29" s="99" t="n">
        <v>-0.05</v>
      </c>
      <c r="F29" s="99" t="n">
        <v>0</v>
      </c>
      <c r="G29" s="99" t="n">
        <v>0.05</v>
      </c>
      <c r="H29" s="99" t="n">
        <v>0.1</v>
      </c>
      <c r="I29" s="99" t="n">
        <v>0.15</v>
      </c>
    </row>
    <row r="30" customFormat="false" ht="15" hidden="false" customHeight="false" outlineLevel="0" collapsed="false">
      <c r="B30" s="100" t="n">
        <v>0.75</v>
      </c>
      <c r="C30" s="101" t="n">
        <f aca="false">-1*$C$10+(1+C$29)*($B30/Assumptions!$C$22)*$C$7*(1-(Assumptions!$C$28+Assumptions!$C$29+Assumptions!$C$31+Assumptions!$C$30+Assumptions!$C$32))-($B30/Assumptions!$C$22)*$C$8-1*$C$9+CHOOSE(Assumptions!$C$60,$C$15*((1+C$29)*($B30/Assumptions!$C$22)*$C$11*(1-(Assumptions!$C$28+Assumptions!$C$29+Assumptions!$C$31+Assumptions!$C$30))-($B30/Assumptions!$C$22)*$C$12-1*$C$13)*(1+Assumptions!$C$62)/Assumptions!$C$61*(1-Assumptions!$C$63),$C$15*((1+C$29)*($B30/Assumptions!$C$22)*$C$11*(1-(Assumptions!$C$28+Assumptions!$C$29+Assumptions!$C$31+Assumptions!$C$30+Assumptions!$C$32))-($B30/Assumptions!$C$22)*$C$12-1*$C$13)*(1+Assumptions!$C$62)/(Assumptions!$C$59-Assumptions!$C$62)*(1-((1+Assumptions!$C$62)/(1+Assumptions!$C$59))^(Assumptions!$C$58-Assumptions!$C$57)),$C$15*1*$C$14,0)</f>
        <v>-2637366563.28231</v>
      </c>
      <c r="D30" s="101" t="n">
        <f aca="false">-1*$C$10+(1+D$29)*($B30/Assumptions!$C$22)*$C$7*(1-(Assumptions!$C$28+Assumptions!$C$29+Assumptions!$C$31+Assumptions!$C$30+Assumptions!$C$32))-($B30/Assumptions!$C$22)*$C$8-1*$C$9+CHOOSE(Assumptions!$C$60,$C$15*((1+D$29)*($B30/Assumptions!$C$22)*$C$11*(1-(Assumptions!$C$28+Assumptions!$C$29+Assumptions!$C$31+Assumptions!$C$30))-($B30/Assumptions!$C$22)*$C$12-1*$C$13)*(1+Assumptions!$C$62)/Assumptions!$C$61*(1-Assumptions!$C$63),$C$15*((1+D$29)*($B30/Assumptions!$C$22)*$C$11*(1-(Assumptions!$C$28+Assumptions!$C$29+Assumptions!$C$31+Assumptions!$C$30+Assumptions!$C$32))-($B30/Assumptions!$C$22)*$C$12-1*$C$13)*(1+Assumptions!$C$62)/(Assumptions!$C$59-Assumptions!$C$62)*(1-((1+Assumptions!$C$62)/(1+Assumptions!$C$59))^(Assumptions!$C$58-Assumptions!$C$57)),$C$15*1*$C$14,0)</f>
        <v>-2397653596.78951</v>
      </c>
      <c r="E30" s="101" t="n">
        <f aca="false">-1*$C$10+(1+E$29)*($B30/Assumptions!$C$22)*$C$7*(1-(Assumptions!$C$28+Assumptions!$C$29+Assumptions!$C$31+Assumptions!$C$30+Assumptions!$C$32))-($B30/Assumptions!$C$22)*$C$8-1*$C$9+CHOOSE(Assumptions!$C$60,$C$15*((1+E$29)*($B30/Assumptions!$C$22)*$C$11*(1-(Assumptions!$C$28+Assumptions!$C$29+Assumptions!$C$31+Assumptions!$C$30))-($B30/Assumptions!$C$22)*$C$12-1*$C$13)*(1+Assumptions!$C$62)/Assumptions!$C$61*(1-Assumptions!$C$63),$C$15*((1+E$29)*($B30/Assumptions!$C$22)*$C$11*(1-(Assumptions!$C$28+Assumptions!$C$29+Assumptions!$C$31+Assumptions!$C$30+Assumptions!$C$32))-($B30/Assumptions!$C$22)*$C$12-1*$C$13)*(1+Assumptions!$C$62)/(Assumptions!$C$59-Assumptions!$C$62)*(1-((1+Assumptions!$C$62)/(1+Assumptions!$C$59))^(Assumptions!$C$58-Assumptions!$C$57)),$C$15*1*$C$14,0)</f>
        <v>-2157940630.29672</v>
      </c>
      <c r="F30" s="101" t="n">
        <f aca="false">-1*$C$10+(1+F$29)*($B30/Assumptions!$C$22)*$C$7*(1-(Assumptions!$C$28+Assumptions!$C$29+Assumptions!$C$31+Assumptions!$C$30+Assumptions!$C$32))-($B30/Assumptions!$C$22)*$C$8-1*$C$9+CHOOSE(Assumptions!$C$60,$C$15*((1+F$29)*($B30/Assumptions!$C$22)*$C$11*(1-(Assumptions!$C$28+Assumptions!$C$29+Assumptions!$C$31+Assumptions!$C$30))-($B30/Assumptions!$C$22)*$C$12-1*$C$13)*(1+Assumptions!$C$62)/Assumptions!$C$61*(1-Assumptions!$C$63),$C$15*((1+F$29)*($B30/Assumptions!$C$22)*$C$11*(1-(Assumptions!$C$28+Assumptions!$C$29+Assumptions!$C$31+Assumptions!$C$30+Assumptions!$C$32))-($B30/Assumptions!$C$22)*$C$12-1*$C$13)*(1+Assumptions!$C$62)/(Assumptions!$C$59-Assumptions!$C$62)*(1-((1+Assumptions!$C$62)/(1+Assumptions!$C$59))^(Assumptions!$C$58-Assumptions!$C$57)),$C$15*1*$C$14,0)</f>
        <v>-1918227663.80392</v>
      </c>
      <c r="G30" s="101" t="n">
        <f aca="false">-1*$C$10+(1+G$29)*($B30/Assumptions!$C$22)*$C$7*(1-(Assumptions!$C$28+Assumptions!$C$29+Assumptions!$C$31+Assumptions!$C$30+Assumptions!$C$32))-($B30/Assumptions!$C$22)*$C$8-1*$C$9+CHOOSE(Assumptions!$C$60,$C$15*((1+G$29)*($B30/Assumptions!$C$22)*$C$11*(1-(Assumptions!$C$28+Assumptions!$C$29+Assumptions!$C$31+Assumptions!$C$30))-($B30/Assumptions!$C$22)*$C$12-1*$C$13)*(1+Assumptions!$C$62)/Assumptions!$C$61*(1-Assumptions!$C$63),$C$15*((1+G$29)*($B30/Assumptions!$C$22)*$C$11*(1-(Assumptions!$C$28+Assumptions!$C$29+Assumptions!$C$31+Assumptions!$C$30+Assumptions!$C$32))-($B30/Assumptions!$C$22)*$C$12-1*$C$13)*(1+Assumptions!$C$62)/(Assumptions!$C$59-Assumptions!$C$62)*(1-((1+Assumptions!$C$62)/(1+Assumptions!$C$59))^(Assumptions!$C$58-Assumptions!$C$57)),$C$15*1*$C$14,0)</f>
        <v>-1678514697.31112</v>
      </c>
      <c r="H30" s="101" t="n">
        <f aca="false">-1*$C$10+(1+H$29)*($B30/Assumptions!$C$22)*$C$7*(1-(Assumptions!$C$28+Assumptions!$C$29+Assumptions!$C$31+Assumptions!$C$30+Assumptions!$C$32))-($B30/Assumptions!$C$22)*$C$8-1*$C$9+CHOOSE(Assumptions!$C$60,$C$15*((1+H$29)*($B30/Assumptions!$C$22)*$C$11*(1-(Assumptions!$C$28+Assumptions!$C$29+Assumptions!$C$31+Assumptions!$C$30))-($B30/Assumptions!$C$22)*$C$12-1*$C$13)*(1+Assumptions!$C$62)/Assumptions!$C$61*(1-Assumptions!$C$63),$C$15*((1+H$29)*($B30/Assumptions!$C$22)*$C$11*(1-(Assumptions!$C$28+Assumptions!$C$29+Assumptions!$C$31+Assumptions!$C$30+Assumptions!$C$32))-($B30/Assumptions!$C$22)*$C$12-1*$C$13)*(1+Assumptions!$C$62)/(Assumptions!$C$59-Assumptions!$C$62)*(1-((1+Assumptions!$C$62)/(1+Assumptions!$C$59))^(Assumptions!$C$58-Assumptions!$C$57)),$C$15*1*$C$14,0)</f>
        <v>-1438801730.81833</v>
      </c>
      <c r="I30" s="101" t="n">
        <f aca="false">-1*$C$10+(1+I$29)*($B30/Assumptions!$C$22)*$C$7*(1-(Assumptions!$C$28+Assumptions!$C$29+Assumptions!$C$31+Assumptions!$C$30+Assumptions!$C$32))-($B30/Assumptions!$C$22)*$C$8-1*$C$9+CHOOSE(Assumptions!$C$60,$C$15*((1+I$29)*($B30/Assumptions!$C$22)*$C$11*(1-(Assumptions!$C$28+Assumptions!$C$29+Assumptions!$C$31+Assumptions!$C$30))-($B30/Assumptions!$C$22)*$C$12-1*$C$13)*(1+Assumptions!$C$62)/Assumptions!$C$61*(1-Assumptions!$C$63),$C$15*((1+I$29)*($B30/Assumptions!$C$22)*$C$11*(1-(Assumptions!$C$28+Assumptions!$C$29+Assumptions!$C$31+Assumptions!$C$30+Assumptions!$C$32))-($B30/Assumptions!$C$22)*$C$12-1*$C$13)*(1+Assumptions!$C$62)/(Assumptions!$C$59-Assumptions!$C$62)*(1-((1+Assumptions!$C$62)/(1+Assumptions!$C$59))^(Assumptions!$C$58-Assumptions!$C$57)),$C$15*1*$C$14,0)</f>
        <v>-1199088764.32554</v>
      </c>
    </row>
    <row r="31" customFormat="false" ht="15" hidden="false" customHeight="false" outlineLevel="0" collapsed="false">
      <c r="B31" s="100" t="n">
        <v>0.8</v>
      </c>
      <c r="C31" s="101" t="n">
        <f aca="false">-1*$C$10+(1+C$29)*($B31/Assumptions!$C$22)*$C$7*(1-(Assumptions!$C$28+Assumptions!$C$29+Assumptions!$C$31+Assumptions!$C$30+Assumptions!$C$32))-($B31/Assumptions!$C$22)*$C$8-1*$C$9+CHOOSE(Assumptions!$C$60,$C$15*((1+C$29)*($B31/Assumptions!$C$22)*$C$11*(1-(Assumptions!$C$28+Assumptions!$C$29+Assumptions!$C$31+Assumptions!$C$30))-($B31/Assumptions!$C$22)*$C$12-1*$C$13)*(1+Assumptions!$C$62)/Assumptions!$C$61*(1-Assumptions!$C$63),$C$15*((1+C$29)*($B31/Assumptions!$C$22)*$C$11*(1-(Assumptions!$C$28+Assumptions!$C$29+Assumptions!$C$31+Assumptions!$C$30+Assumptions!$C$32))-($B31/Assumptions!$C$22)*$C$12-1*$C$13)*(1+Assumptions!$C$62)/(Assumptions!$C$59-Assumptions!$C$62)*(1-((1+Assumptions!$C$62)/(1+Assumptions!$C$59))^(Assumptions!$C$58-Assumptions!$C$57)),$C$15*1*$C$14,0)</f>
        <v>-2386092789.89509</v>
      </c>
      <c r="D31" s="101" t="n">
        <f aca="false">-1*$C$10+(1+D$29)*($B31/Assumptions!$C$22)*$C$7*(1-(Assumptions!$C$28+Assumptions!$C$29+Assumptions!$C$31+Assumptions!$C$30+Assumptions!$C$32))-($B31/Assumptions!$C$22)*$C$8-1*$C$9+CHOOSE(Assumptions!$C$60,$C$15*((1+D$29)*($B31/Assumptions!$C$22)*$C$11*(1-(Assumptions!$C$28+Assumptions!$C$29+Assumptions!$C$31+Assumptions!$C$30))-($B31/Assumptions!$C$22)*$C$12-1*$C$13)*(1+Assumptions!$C$62)/Assumptions!$C$61*(1-Assumptions!$C$63),$C$15*((1+D$29)*($B31/Assumptions!$C$22)*$C$11*(1-(Assumptions!$C$28+Assumptions!$C$29+Assumptions!$C$31+Assumptions!$C$30+Assumptions!$C$32))-($B31/Assumptions!$C$22)*$C$12-1*$C$13)*(1+Assumptions!$C$62)/(Assumptions!$C$59-Assumptions!$C$62)*(1-((1+Assumptions!$C$62)/(1+Assumptions!$C$59))^(Assumptions!$C$58-Assumptions!$C$57)),$C$15*1*$C$14,0)</f>
        <v>-2130398958.96945</v>
      </c>
      <c r="E31" s="101" t="n">
        <f aca="false">-1*$C$10+(1+E$29)*($B31/Assumptions!$C$22)*$C$7*(1-(Assumptions!$C$28+Assumptions!$C$29+Assumptions!$C$31+Assumptions!$C$30+Assumptions!$C$32))-($B31/Assumptions!$C$22)*$C$8-1*$C$9+CHOOSE(Assumptions!$C$60,$C$15*((1+E$29)*($B31/Assumptions!$C$22)*$C$11*(1-(Assumptions!$C$28+Assumptions!$C$29+Assumptions!$C$31+Assumptions!$C$30))-($B31/Assumptions!$C$22)*$C$12-1*$C$13)*(1+Assumptions!$C$62)/Assumptions!$C$61*(1-Assumptions!$C$63),$C$15*((1+E$29)*($B31/Assumptions!$C$22)*$C$11*(1-(Assumptions!$C$28+Assumptions!$C$29+Assumptions!$C$31+Assumptions!$C$30+Assumptions!$C$32))-($B31/Assumptions!$C$22)*$C$12-1*$C$13)*(1+Assumptions!$C$62)/(Assumptions!$C$59-Assumptions!$C$62)*(1-((1+Assumptions!$C$62)/(1+Assumptions!$C$59))^(Assumptions!$C$58-Assumptions!$C$57)),$C$15*1*$C$14,0)</f>
        <v>-1874705128.0438</v>
      </c>
      <c r="F31" s="101" t="n">
        <f aca="false">-1*$C$10+(1+F$29)*($B31/Assumptions!$C$22)*$C$7*(1-(Assumptions!$C$28+Assumptions!$C$29+Assumptions!$C$31+Assumptions!$C$30+Assumptions!$C$32))-($B31/Assumptions!$C$22)*$C$8-1*$C$9+CHOOSE(Assumptions!$C$60,$C$15*((1+F$29)*($B31/Assumptions!$C$22)*$C$11*(1-(Assumptions!$C$28+Assumptions!$C$29+Assumptions!$C$31+Assumptions!$C$30))-($B31/Assumptions!$C$22)*$C$12-1*$C$13)*(1+Assumptions!$C$62)/Assumptions!$C$61*(1-Assumptions!$C$63),$C$15*((1+F$29)*($B31/Assumptions!$C$22)*$C$11*(1-(Assumptions!$C$28+Assumptions!$C$29+Assumptions!$C$31+Assumptions!$C$30+Assumptions!$C$32))-($B31/Assumptions!$C$22)*$C$12-1*$C$13)*(1+Assumptions!$C$62)/(Assumptions!$C$59-Assumptions!$C$62)*(1-((1+Assumptions!$C$62)/(1+Assumptions!$C$59))^(Assumptions!$C$58-Assumptions!$C$57)),$C$15*1*$C$14,0)</f>
        <v>-1619011297.11815</v>
      </c>
      <c r="G31" s="101" t="n">
        <f aca="false">-1*$C$10+(1+G$29)*($B31/Assumptions!$C$22)*$C$7*(1-(Assumptions!$C$28+Assumptions!$C$29+Assumptions!$C$31+Assumptions!$C$30+Assumptions!$C$32))-($B31/Assumptions!$C$22)*$C$8-1*$C$9+CHOOSE(Assumptions!$C$60,$C$15*((1+G$29)*($B31/Assumptions!$C$22)*$C$11*(1-(Assumptions!$C$28+Assumptions!$C$29+Assumptions!$C$31+Assumptions!$C$30))-($B31/Assumptions!$C$22)*$C$12-1*$C$13)*(1+Assumptions!$C$62)/Assumptions!$C$61*(1-Assumptions!$C$63),$C$15*((1+G$29)*($B31/Assumptions!$C$22)*$C$11*(1-(Assumptions!$C$28+Assumptions!$C$29+Assumptions!$C$31+Assumptions!$C$30+Assumptions!$C$32))-($B31/Assumptions!$C$22)*$C$12-1*$C$13)*(1+Assumptions!$C$62)/(Assumptions!$C$59-Assumptions!$C$62)*(1-((1+Assumptions!$C$62)/(1+Assumptions!$C$59))^(Assumptions!$C$58-Assumptions!$C$57)),$C$15*1*$C$14,0)</f>
        <v>-1363317466.1925</v>
      </c>
      <c r="H31" s="101" t="n">
        <f aca="false">-1*$C$10+(1+H$29)*($B31/Assumptions!$C$22)*$C$7*(1-(Assumptions!$C$28+Assumptions!$C$29+Assumptions!$C$31+Assumptions!$C$30+Assumptions!$C$32))-($B31/Assumptions!$C$22)*$C$8-1*$C$9+CHOOSE(Assumptions!$C$60,$C$15*((1+H$29)*($B31/Assumptions!$C$22)*$C$11*(1-(Assumptions!$C$28+Assumptions!$C$29+Assumptions!$C$31+Assumptions!$C$30))-($B31/Assumptions!$C$22)*$C$12-1*$C$13)*(1+Assumptions!$C$62)/Assumptions!$C$61*(1-Assumptions!$C$63),$C$15*((1+H$29)*($B31/Assumptions!$C$22)*$C$11*(1-(Assumptions!$C$28+Assumptions!$C$29+Assumptions!$C$31+Assumptions!$C$30+Assumptions!$C$32))-($B31/Assumptions!$C$22)*$C$12-1*$C$13)*(1+Assumptions!$C$62)/(Assumptions!$C$59-Assumptions!$C$62)*(1-((1+Assumptions!$C$62)/(1+Assumptions!$C$59))^(Assumptions!$C$58-Assumptions!$C$57)),$C$15*1*$C$14,0)</f>
        <v>-1107623635.26685</v>
      </c>
      <c r="I31" s="101" t="n">
        <f aca="false">-1*$C$10+(1+I$29)*($B31/Assumptions!$C$22)*$C$7*(1-(Assumptions!$C$28+Assumptions!$C$29+Assumptions!$C$31+Assumptions!$C$30+Assumptions!$C$32))-($B31/Assumptions!$C$22)*$C$8-1*$C$9+CHOOSE(Assumptions!$C$60,$C$15*((1+I$29)*($B31/Assumptions!$C$22)*$C$11*(1-(Assumptions!$C$28+Assumptions!$C$29+Assumptions!$C$31+Assumptions!$C$30))-($B31/Assumptions!$C$22)*$C$12-1*$C$13)*(1+Assumptions!$C$62)/Assumptions!$C$61*(1-Assumptions!$C$63),$C$15*((1+I$29)*($B31/Assumptions!$C$22)*$C$11*(1-(Assumptions!$C$28+Assumptions!$C$29+Assumptions!$C$31+Assumptions!$C$30+Assumptions!$C$32))-($B31/Assumptions!$C$22)*$C$12-1*$C$13)*(1+Assumptions!$C$62)/(Assumptions!$C$59-Assumptions!$C$62)*(1-((1+Assumptions!$C$62)/(1+Assumptions!$C$59))^(Assumptions!$C$58-Assumptions!$C$57)),$C$15*1*$C$14,0)</f>
        <v>-851929804.341206</v>
      </c>
    </row>
    <row r="32" customFormat="false" ht="15" hidden="false" customHeight="false" outlineLevel="0" collapsed="false">
      <c r="B32" s="100" t="n">
        <v>0.85</v>
      </c>
      <c r="C32" s="101" t="n">
        <f aca="false">-1*$C$10+(1+C$29)*($B32/Assumptions!$C$22)*$C$7*(1-(Assumptions!$C$28+Assumptions!$C$29+Assumptions!$C$31+Assumptions!$C$30+Assumptions!$C$32))-($B32/Assumptions!$C$22)*$C$8-1*$C$9+CHOOSE(Assumptions!$C$60,$C$15*((1+C$29)*($B32/Assumptions!$C$22)*$C$11*(1-(Assumptions!$C$28+Assumptions!$C$29+Assumptions!$C$31+Assumptions!$C$30))-($B32/Assumptions!$C$22)*$C$12-1*$C$13)*(1+Assumptions!$C$62)/Assumptions!$C$61*(1-Assumptions!$C$63),$C$15*((1+C$29)*($B32/Assumptions!$C$22)*$C$11*(1-(Assumptions!$C$28+Assumptions!$C$29+Assumptions!$C$31+Assumptions!$C$30+Assumptions!$C$32))-($B32/Assumptions!$C$22)*$C$12-1*$C$13)*(1+Assumptions!$C$62)/(Assumptions!$C$59-Assumptions!$C$62)*(1-((1+Assumptions!$C$62)/(1+Assumptions!$C$59))^(Assumptions!$C$58-Assumptions!$C$57)),$C$15*1*$C$14,0)</f>
        <v>-2134819016.50788</v>
      </c>
      <c r="D32" s="101" t="n">
        <f aca="false">-1*$C$10+(1+D$29)*($B32/Assumptions!$C$22)*$C$7*(1-(Assumptions!$C$28+Assumptions!$C$29+Assumptions!$C$31+Assumptions!$C$30+Assumptions!$C$32))-($B32/Assumptions!$C$22)*$C$8-1*$C$9+CHOOSE(Assumptions!$C$60,$C$15*((1+D$29)*($B32/Assumptions!$C$22)*$C$11*(1-(Assumptions!$C$28+Assumptions!$C$29+Assumptions!$C$31+Assumptions!$C$30))-($B32/Assumptions!$C$22)*$C$12-1*$C$13)*(1+Assumptions!$C$62)/Assumptions!$C$61*(1-Assumptions!$C$63),$C$15*((1+D$29)*($B32/Assumptions!$C$22)*$C$11*(1-(Assumptions!$C$28+Assumptions!$C$29+Assumptions!$C$31+Assumptions!$C$30+Assumptions!$C$32))-($B32/Assumptions!$C$22)*$C$12-1*$C$13)*(1+Assumptions!$C$62)/(Assumptions!$C$59-Assumptions!$C$62)*(1-((1+Assumptions!$C$62)/(1+Assumptions!$C$59))^(Assumptions!$C$58-Assumptions!$C$57)),$C$15*1*$C$14,0)</f>
        <v>-1863144321.14938</v>
      </c>
      <c r="E32" s="101" t="n">
        <f aca="false">-1*$C$10+(1+E$29)*($B32/Assumptions!$C$22)*$C$7*(1-(Assumptions!$C$28+Assumptions!$C$29+Assumptions!$C$31+Assumptions!$C$30+Assumptions!$C$32))-($B32/Assumptions!$C$22)*$C$8-1*$C$9+CHOOSE(Assumptions!$C$60,$C$15*((1+E$29)*($B32/Assumptions!$C$22)*$C$11*(1-(Assumptions!$C$28+Assumptions!$C$29+Assumptions!$C$31+Assumptions!$C$30))-($B32/Assumptions!$C$22)*$C$12-1*$C$13)*(1+Assumptions!$C$62)/Assumptions!$C$61*(1-Assumptions!$C$63),$C$15*((1+E$29)*($B32/Assumptions!$C$22)*$C$11*(1-(Assumptions!$C$28+Assumptions!$C$29+Assumptions!$C$31+Assumptions!$C$30+Assumptions!$C$32))-($B32/Assumptions!$C$22)*$C$12-1*$C$13)*(1+Assumptions!$C$62)/(Assumptions!$C$59-Assumptions!$C$62)*(1-((1+Assumptions!$C$62)/(1+Assumptions!$C$59))^(Assumptions!$C$58-Assumptions!$C$57)),$C$15*1*$C$14,0)</f>
        <v>-1591469625.79088</v>
      </c>
      <c r="F32" s="101" t="n">
        <f aca="false">-1*$C$10+(1+F$29)*($B32/Assumptions!$C$22)*$C$7*(1-(Assumptions!$C$28+Assumptions!$C$29+Assumptions!$C$31+Assumptions!$C$30+Assumptions!$C$32))-($B32/Assumptions!$C$22)*$C$8-1*$C$9+CHOOSE(Assumptions!$C$60,$C$15*((1+F$29)*($B32/Assumptions!$C$22)*$C$11*(1-(Assumptions!$C$28+Assumptions!$C$29+Assumptions!$C$31+Assumptions!$C$30))-($B32/Assumptions!$C$22)*$C$12-1*$C$13)*(1+Assumptions!$C$62)/Assumptions!$C$61*(1-Assumptions!$C$63),$C$15*((1+F$29)*($B32/Assumptions!$C$22)*$C$11*(1-(Assumptions!$C$28+Assumptions!$C$29+Assumptions!$C$31+Assumptions!$C$30+Assumptions!$C$32))-($B32/Assumptions!$C$22)*$C$12-1*$C$13)*(1+Assumptions!$C$62)/(Assumptions!$C$59-Assumptions!$C$62)*(1-((1+Assumptions!$C$62)/(1+Assumptions!$C$59))^(Assumptions!$C$58-Assumptions!$C$57)),$C$15*1*$C$14,0)</f>
        <v>-1319794930.43238</v>
      </c>
      <c r="G32" s="101" t="n">
        <f aca="false">-1*$C$10+(1+G$29)*($B32/Assumptions!$C$22)*$C$7*(1-(Assumptions!$C$28+Assumptions!$C$29+Assumptions!$C$31+Assumptions!$C$30+Assumptions!$C$32))-($B32/Assumptions!$C$22)*$C$8-1*$C$9+CHOOSE(Assumptions!$C$60,$C$15*((1+G$29)*($B32/Assumptions!$C$22)*$C$11*(1-(Assumptions!$C$28+Assumptions!$C$29+Assumptions!$C$31+Assumptions!$C$30))-($B32/Assumptions!$C$22)*$C$12-1*$C$13)*(1+Assumptions!$C$62)/Assumptions!$C$61*(1-Assumptions!$C$63),$C$15*((1+G$29)*($B32/Assumptions!$C$22)*$C$11*(1-(Assumptions!$C$28+Assumptions!$C$29+Assumptions!$C$31+Assumptions!$C$30+Assumptions!$C$32))-($B32/Assumptions!$C$22)*$C$12-1*$C$13)*(1+Assumptions!$C$62)/(Assumptions!$C$59-Assumptions!$C$62)*(1-((1+Assumptions!$C$62)/(1+Assumptions!$C$59))^(Assumptions!$C$58-Assumptions!$C$57)),$C$15*1*$C$14,0)</f>
        <v>-1048120235.07388</v>
      </c>
      <c r="H32" s="101" t="n">
        <f aca="false">-1*$C$10+(1+H$29)*($B32/Assumptions!$C$22)*$C$7*(1-(Assumptions!$C$28+Assumptions!$C$29+Assumptions!$C$31+Assumptions!$C$30+Assumptions!$C$32))-($B32/Assumptions!$C$22)*$C$8-1*$C$9+CHOOSE(Assumptions!$C$60,$C$15*((1+H$29)*($B32/Assumptions!$C$22)*$C$11*(1-(Assumptions!$C$28+Assumptions!$C$29+Assumptions!$C$31+Assumptions!$C$30))-($B32/Assumptions!$C$22)*$C$12-1*$C$13)*(1+Assumptions!$C$62)/Assumptions!$C$61*(1-Assumptions!$C$63),$C$15*((1+H$29)*($B32/Assumptions!$C$22)*$C$11*(1-(Assumptions!$C$28+Assumptions!$C$29+Assumptions!$C$31+Assumptions!$C$30+Assumptions!$C$32))-($B32/Assumptions!$C$22)*$C$12-1*$C$13)*(1+Assumptions!$C$62)/(Assumptions!$C$59-Assumptions!$C$62)*(1-((1+Assumptions!$C$62)/(1+Assumptions!$C$59))^(Assumptions!$C$58-Assumptions!$C$57)),$C$15*1*$C$14,0)</f>
        <v>-776445539.715377</v>
      </c>
      <c r="I32" s="101" t="n">
        <f aca="false">-1*$C$10+(1+I$29)*($B32/Assumptions!$C$22)*$C$7*(1-(Assumptions!$C$28+Assumptions!$C$29+Assumptions!$C$31+Assumptions!$C$30+Assumptions!$C$32))-($B32/Assumptions!$C$22)*$C$8-1*$C$9+CHOOSE(Assumptions!$C$60,$C$15*((1+I$29)*($B32/Assumptions!$C$22)*$C$11*(1-(Assumptions!$C$28+Assumptions!$C$29+Assumptions!$C$31+Assumptions!$C$30))-($B32/Assumptions!$C$22)*$C$12-1*$C$13)*(1+Assumptions!$C$62)/Assumptions!$C$61*(1-Assumptions!$C$63),$C$15*((1+I$29)*($B32/Assumptions!$C$22)*$C$11*(1-(Assumptions!$C$28+Assumptions!$C$29+Assumptions!$C$31+Assumptions!$C$30+Assumptions!$C$32))-($B32/Assumptions!$C$22)*$C$12-1*$C$13)*(1+Assumptions!$C$62)/(Assumptions!$C$59-Assumptions!$C$62)*(1-((1+Assumptions!$C$62)/(1+Assumptions!$C$59))^(Assumptions!$C$58-Assumptions!$C$57)),$C$15*1*$C$14,0)</f>
        <v>-504770844.356876</v>
      </c>
    </row>
    <row r="33" customFormat="false" ht="15" hidden="false" customHeight="false" outlineLevel="0" collapsed="false">
      <c r="B33" s="100" t="n">
        <v>0.9</v>
      </c>
      <c r="C33" s="101" t="n">
        <f aca="false">-1*$C$10+(1+C$29)*($B33/Assumptions!$C$22)*$C$7*(1-(Assumptions!$C$28+Assumptions!$C$29+Assumptions!$C$31+Assumptions!$C$30+Assumptions!$C$32))-($B33/Assumptions!$C$22)*$C$8-1*$C$9+CHOOSE(Assumptions!$C$60,$C$15*((1+C$29)*($B33/Assumptions!$C$22)*$C$11*(1-(Assumptions!$C$28+Assumptions!$C$29+Assumptions!$C$31+Assumptions!$C$30))-($B33/Assumptions!$C$22)*$C$12-1*$C$13)*(1+Assumptions!$C$62)/Assumptions!$C$61*(1-Assumptions!$C$63),$C$15*((1+C$29)*($B33/Assumptions!$C$22)*$C$11*(1-(Assumptions!$C$28+Assumptions!$C$29+Assumptions!$C$31+Assumptions!$C$30+Assumptions!$C$32))-($B33/Assumptions!$C$22)*$C$12-1*$C$13)*(1+Assumptions!$C$62)/(Assumptions!$C$59-Assumptions!$C$62)*(1-((1+Assumptions!$C$62)/(1+Assumptions!$C$59))^(Assumptions!$C$58-Assumptions!$C$57)),$C$15*1*$C$14,0)</f>
        <v>-1883545243.12067</v>
      </c>
      <c r="D33" s="101" t="n">
        <f aca="false">-1*$C$10+(1+D$29)*($B33/Assumptions!$C$22)*$C$7*(1-(Assumptions!$C$28+Assumptions!$C$29+Assumptions!$C$31+Assumptions!$C$30+Assumptions!$C$32))-($B33/Assumptions!$C$22)*$C$8-1*$C$9+CHOOSE(Assumptions!$C$60,$C$15*((1+D$29)*($B33/Assumptions!$C$22)*$C$11*(1-(Assumptions!$C$28+Assumptions!$C$29+Assumptions!$C$31+Assumptions!$C$30))-($B33/Assumptions!$C$22)*$C$12-1*$C$13)*(1+Assumptions!$C$62)/Assumptions!$C$61*(1-Assumptions!$C$63),$C$15*((1+D$29)*($B33/Assumptions!$C$22)*$C$11*(1-(Assumptions!$C$28+Assumptions!$C$29+Assumptions!$C$31+Assumptions!$C$30+Assumptions!$C$32))-($B33/Assumptions!$C$22)*$C$12-1*$C$13)*(1+Assumptions!$C$62)/(Assumptions!$C$59-Assumptions!$C$62)*(1-((1+Assumptions!$C$62)/(1+Assumptions!$C$59))^(Assumptions!$C$58-Assumptions!$C$57)),$C$15*1*$C$14,0)</f>
        <v>-1595889683.32932</v>
      </c>
      <c r="E33" s="101" t="n">
        <f aca="false">-1*$C$10+(1+E$29)*($B33/Assumptions!$C$22)*$C$7*(1-(Assumptions!$C$28+Assumptions!$C$29+Assumptions!$C$31+Assumptions!$C$30+Assumptions!$C$32))-($B33/Assumptions!$C$22)*$C$8-1*$C$9+CHOOSE(Assumptions!$C$60,$C$15*((1+E$29)*($B33/Assumptions!$C$22)*$C$11*(1-(Assumptions!$C$28+Assumptions!$C$29+Assumptions!$C$31+Assumptions!$C$30))-($B33/Assumptions!$C$22)*$C$12-1*$C$13)*(1+Assumptions!$C$62)/Assumptions!$C$61*(1-Assumptions!$C$63),$C$15*((1+E$29)*($B33/Assumptions!$C$22)*$C$11*(1-(Assumptions!$C$28+Assumptions!$C$29+Assumptions!$C$31+Assumptions!$C$30+Assumptions!$C$32))-($B33/Assumptions!$C$22)*$C$12-1*$C$13)*(1+Assumptions!$C$62)/(Assumptions!$C$59-Assumptions!$C$62)*(1-((1+Assumptions!$C$62)/(1+Assumptions!$C$59))^(Assumptions!$C$58-Assumptions!$C$57)),$C$15*1*$C$14,0)</f>
        <v>-1308234123.53796</v>
      </c>
      <c r="F33" s="102" t="n">
        <f aca="false">-1*$C$10+(1+F$29)*($B33/Assumptions!$C$22)*$C$7*(1-(Assumptions!$C$28+Assumptions!$C$29+Assumptions!$C$31+Assumptions!$C$30+Assumptions!$C$32))-($B33/Assumptions!$C$22)*$C$8-1*$C$9+CHOOSE(Assumptions!$C$60,$C$15*((1+F$29)*($B33/Assumptions!$C$22)*$C$11*(1-(Assumptions!$C$28+Assumptions!$C$29+Assumptions!$C$31+Assumptions!$C$30))-($B33/Assumptions!$C$22)*$C$12-1*$C$13)*(1+Assumptions!$C$62)/Assumptions!$C$61*(1-Assumptions!$C$63),$C$15*((1+F$29)*($B33/Assumptions!$C$22)*$C$11*(1-(Assumptions!$C$28+Assumptions!$C$29+Assumptions!$C$31+Assumptions!$C$30+Assumptions!$C$32))-($B33/Assumptions!$C$22)*$C$12-1*$C$13)*(1+Assumptions!$C$62)/(Assumptions!$C$59-Assumptions!$C$62)*(1-((1+Assumptions!$C$62)/(1+Assumptions!$C$59))^(Assumptions!$C$58-Assumptions!$C$57)),$C$15*1*$C$14,0)</f>
        <v>-1020578563.74661</v>
      </c>
      <c r="G33" s="101" t="n">
        <f aca="false">-1*$C$10+(1+G$29)*($B33/Assumptions!$C$22)*$C$7*(1-(Assumptions!$C$28+Assumptions!$C$29+Assumptions!$C$31+Assumptions!$C$30+Assumptions!$C$32))-($B33/Assumptions!$C$22)*$C$8-1*$C$9+CHOOSE(Assumptions!$C$60,$C$15*((1+G$29)*($B33/Assumptions!$C$22)*$C$11*(1-(Assumptions!$C$28+Assumptions!$C$29+Assumptions!$C$31+Assumptions!$C$30))-($B33/Assumptions!$C$22)*$C$12-1*$C$13)*(1+Assumptions!$C$62)/Assumptions!$C$61*(1-Assumptions!$C$63),$C$15*((1+G$29)*($B33/Assumptions!$C$22)*$C$11*(1-(Assumptions!$C$28+Assumptions!$C$29+Assumptions!$C$31+Assumptions!$C$30+Assumptions!$C$32))-($B33/Assumptions!$C$22)*$C$12-1*$C$13)*(1+Assumptions!$C$62)/(Assumptions!$C$59-Assumptions!$C$62)*(1-((1+Assumptions!$C$62)/(1+Assumptions!$C$59))^(Assumptions!$C$58-Assumptions!$C$57)),$C$15*1*$C$14,0)</f>
        <v>-732923003.955255</v>
      </c>
      <c r="H33" s="101" t="n">
        <f aca="false">-1*$C$10+(1+H$29)*($B33/Assumptions!$C$22)*$C$7*(1-(Assumptions!$C$28+Assumptions!$C$29+Assumptions!$C$31+Assumptions!$C$30+Assumptions!$C$32))-($B33/Assumptions!$C$22)*$C$8-1*$C$9+CHOOSE(Assumptions!$C$60,$C$15*((1+H$29)*($B33/Assumptions!$C$22)*$C$11*(1-(Assumptions!$C$28+Assumptions!$C$29+Assumptions!$C$31+Assumptions!$C$30))-($B33/Assumptions!$C$22)*$C$12-1*$C$13)*(1+Assumptions!$C$62)/Assumptions!$C$61*(1-Assumptions!$C$63),$C$15*((1+H$29)*($B33/Assumptions!$C$22)*$C$11*(1-(Assumptions!$C$28+Assumptions!$C$29+Assumptions!$C$31+Assumptions!$C$30+Assumptions!$C$32))-($B33/Assumptions!$C$22)*$C$12-1*$C$13)*(1+Assumptions!$C$62)/(Assumptions!$C$59-Assumptions!$C$62)*(1-((1+Assumptions!$C$62)/(1+Assumptions!$C$59))^(Assumptions!$C$58-Assumptions!$C$57)),$C$15*1*$C$14,0)</f>
        <v>-445267444.1639</v>
      </c>
      <c r="I33" s="101" t="n">
        <f aca="false">-1*$C$10+(1+I$29)*($B33/Assumptions!$C$22)*$C$7*(1-(Assumptions!$C$28+Assumptions!$C$29+Assumptions!$C$31+Assumptions!$C$30+Assumptions!$C$32))-($B33/Assumptions!$C$22)*$C$8-1*$C$9+CHOOSE(Assumptions!$C$60,$C$15*((1+I$29)*($B33/Assumptions!$C$22)*$C$11*(1-(Assumptions!$C$28+Assumptions!$C$29+Assumptions!$C$31+Assumptions!$C$30))-($B33/Assumptions!$C$22)*$C$12-1*$C$13)*(1+Assumptions!$C$62)/Assumptions!$C$61*(1-Assumptions!$C$63),$C$15*((1+I$29)*($B33/Assumptions!$C$22)*$C$11*(1-(Assumptions!$C$28+Assumptions!$C$29+Assumptions!$C$31+Assumptions!$C$30+Assumptions!$C$32))-($B33/Assumptions!$C$22)*$C$12-1*$C$13)*(1+Assumptions!$C$62)/(Assumptions!$C$59-Assumptions!$C$62)*(1-((1+Assumptions!$C$62)/(1+Assumptions!$C$59))^(Assumptions!$C$58-Assumptions!$C$57)),$C$15*1*$C$14,0)</f>
        <v>-157611884.372547</v>
      </c>
    </row>
    <row r="34" customFormat="false" ht="15" hidden="false" customHeight="false" outlineLevel="0" collapsed="false">
      <c r="B34" s="100" t="n">
        <v>0.95</v>
      </c>
      <c r="C34" s="101" t="n">
        <f aca="false">-1*$C$10+(1+C$29)*($B34/Assumptions!$C$22)*$C$7*(1-(Assumptions!$C$28+Assumptions!$C$29+Assumptions!$C$31+Assumptions!$C$30+Assumptions!$C$32))-($B34/Assumptions!$C$22)*$C$8-1*$C$9+CHOOSE(Assumptions!$C$60,$C$15*((1+C$29)*($B34/Assumptions!$C$22)*$C$11*(1-(Assumptions!$C$28+Assumptions!$C$29+Assumptions!$C$31+Assumptions!$C$30))-($B34/Assumptions!$C$22)*$C$12-1*$C$13)*(1+Assumptions!$C$62)/Assumptions!$C$61*(1-Assumptions!$C$63),$C$15*((1+C$29)*($B34/Assumptions!$C$22)*$C$11*(1-(Assumptions!$C$28+Assumptions!$C$29+Assumptions!$C$31+Assumptions!$C$30+Assumptions!$C$32))-($B34/Assumptions!$C$22)*$C$12-1*$C$13)*(1+Assumptions!$C$62)/(Assumptions!$C$59-Assumptions!$C$62)*(1-((1+Assumptions!$C$62)/(1+Assumptions!$C$59))^(Assumptions!$C$58-Assumptions!$C$57)),$C$15*1*$C$14,0)</f>
        <v>-1632271469.73346</v>
      </c>
      <c r="D34" s="101" t="n">
        <f aca="false">-1*$C$10+(1+D$29)*($B34/Assumptions!$C$22)*$C$7*(1-(Assumptions!$C$28+Assumptions!$C$29+Assumptions!$C$31+Assumptions!$C$30+Assumptions!$C$32))-($B34/Assumptions!$C$22)*$C$8-1*$C$9+CHOOSE(Assumptions!$C$60,$C$15*((1+D$29)*($B34/Assumptions!$C$22)*$C$11*(1-(Assumptions!$C$28+Assumptions!$C$29+Assumptions!$C$31+Assumptions!$C$30))-($B34/Assumptions!$C$22)*$C$12-1*$C$13)*(1+Assumptions!$C$62)/Assumptions!$C$61*(1-Assumptions!$C$63),$C$15*((1+D$29)*($B34/Assumptions!$C$22)*$C$11*(1-(Assumptions!$C$28+Assumptions!$C$29+Assumptions!$C$31+Assumptions!$C$30+Assumptions!$C$32))-($B34/Assumptions!$C$22)*$C$12-1*$C$13)*(1+Assumptions!$C$62)/(Assumptions!$C$59-Assumptions!$C$62)*(1-((1+Assumptions!$C$62)/(1+Assumptions!$C$59))^(Assumptions!$C$58-Assumptions!$C$57)),$C$15*1*$C$14,0)</f>
        <v>-1328635045.50925</v>
      </c>
      <c r="E34" s="101" t="n">
        <f aca="false">-1*$C$10+(1+E$29)*($B34/Assumptions!$C$22)*$C$7*(1-(Assumptions!$C$28+Assumptions!$C$29+Assumptions!$C$31+Assumptions!$C$30+Assumptions!$C$32))-($B34/Assumptions!$C$22)*$C$8-1*$C$9+CHOOSE(Assumptions!$C$60,$C$15*((1+E$29)*($B34/Assumptions!$C$22)*$C$11*(1-(Assumptions!$C$28+Assumptions!$C$29+Assumptions!$C$31+Assumptions!$C$30))-($B34/Assumptions!$C$22)*$C$12-1*$C$13)*(1+Assumptions!$C$62)/Assumptions!$C$61*(1-Assumptions!$C$63),$C$15*((1+E$29)*($B34/Assumptions!$C$22)*$C$11*(1-(Assumptions!$C$28+Assumptions!$C$29+Assumptions!$C$31+Assumptions!$C$30+Assumptions!$C$32))-($B34/Assumptions!$C$22)*$C$12-1*$C$13)*(1+Assumptions!$C$62)/(Assumptions!$C$59-Assumptions!$C$62)*(1-((1+Assumptions!$C$62)/(1+Assumptions!$C$59))^(Assumptions!$C$58-Assumptions!$C$57)),$C$15*1*$C$14,0)</f>
        <v>-1024998621.28505</v>
      </c>
      <c r="F34" s="101" t="n">
        <f aca="false">-1*$C$10+(1+F$29)*($B34/Assumptions!$C$22)*$C$7*(1-(Assumptions!$C$28+Assumptions!$C$29+Assumptions!$C$31+Assumptions!$C$30+Assumptions!$C$32))-($B34/Assumptions!$C$22)*$C$8-1*$C$9+CHOOSE(Assumptions!$C$60,$C$15*((1+F$29)*($B34/Assumptions!$C$22)*$C$11*(1-(Assumptions!$C$28+Assumptions!$C$29+Assumptions!$C$31+Assumptions!$C$30))-($B34/Assumptions!$C$22)*$C$12-1*$C$13)*(1+Assumptions!$C$62)/Assumptions!$C$61*(1-Assumptions!$C$63),$C$15*((1+F$29)*($B34/Assumptions!$C$22)*$C$11*(1-(Assumptions!$C$28+Assumptions!$C$29+Assumptions!$C$31+Assumptions!$C$30+Assumptions!$C$32))-($B34/Assumptions!$C$22)*$C$12-1*$C$13)*(1+Assumptions!$C$62)/(Assumptions!$C$59-Assumptions!$C$62)*(1-((1+Assumptions!$C$62)/(1+Assumptions!$C$59))^(Assumptions!$C$58-Assumptions!$C$57)),$C$15*1*$C$14,0)</f>
        <v>-721362197.060839</v>
      </c>
      <c r="G34" s="101" t="n">
        <f aca="false">-1*$C$10+(1+G$29)*($B34/Assumptions!$C$22)*$C$7*(1-(Assumptions!$C$28+Assumptions!$C$29+Assumptions!$C$31+Assumptions!$C$30+Assumptions!$C$32))-($B34/Assumptions!$C$22)*$C$8-1*$C$9+CHOOSE(Assumptions!$C$60,$C$15*((1+G$29)*($B34/Assumptions!$C$22)*$C$11*(1-(Assumptions!$C$28+Assumptions!$C$29+Assumptions!$C$31+Assumptions!$C$30))-($B34/Assumptions!$C$22)*$C$12-1*$C$13)*(1+Assumptions!$C$62)/Assumptions!$C$61*(1-Assumptions!$C$63),$C$15*((1+G$29)*($B34/Assumptions!$C$22)*$C$11*(1-(Assumptions!$C$28+Assumptions!$C$29+Assumptions!$C$31+Assumptions!$C$30+Assumptions!$C$32))-($B34/Assumptions!$C$22)*$C$12-1*$C$13)*(1+Assumptions!$C$62)/(Assumptions!$C$59-Assumptions!$C$62)*(1-((1+Assumptions!$C$62)/(1+Assumptions!$C$59))^(Assumptions!$C$58-Assumptions!$C$57)),$C$15*1*$C$14,0)</f>
        <v>-417725772.836631</v>
      </c>
      <c r="H34" s="101" t="n">
        <f aca="false">-1*$C$10+(1+H$29)*($B34/Assumptions!$C$22)*$C$7*(1-(Assumptions!$C$28+Assumptions!$C$29+Assumptions!$C$31+Assumptions!$C$30+Assumptions!$C$32))-($B34/Assumptions!$C$22)*$C$8-1*$C$9+CHOOSE(Assumptions!$C$60,$C$15*((1+H$29)*($B34/Assumptions!$C$22)*$C$11*(1-(Assumptions!$C$28+Assumptions!$C$29+Assumptions!$C$31+Assumptions!$C$30))-($B34/Assumptions!$C$22)*$C$12-1*$C$13)*(1+Assumptions!$C$62)/Assumptions!$C$61*(1-Assumptions!$C$63),$C$15*((1+H$29)*($B34/Assumptions!$C$22)*$C$11*(1-(Assumptions!$C$28+Assumptions!$C$29+Assumptions!$C$31+Assumptions!$C$30+Assumptions!$C$32))-($B34/Assumptions!$C$22)*$C$12-1*$C$13)*(1+Assumptions!$C$62)/(Assumptions!$C$59-Assumptions!$C$62)*(1-((1+Assumptions!$C$62)/(1+Assumptions!$C$59))^(Assumptions!$C$58-Assumptions!$C$57)),$C$15*1*$C$14,0)</f>
        <v>-114089348.612425</v>
      </c>
      <c r="I34" s="101" t="n">
        <f aca="false">-1*$C$10+(1+I$29)*($B34/Assumptions!$C$22)*$C$7*(1-(Assumptions!$C$28+Assumptions!$C$29+Assumptions!$C$31+Assumptions!$C$30+Assumptions!$C$32))-($B34/Assumptions!$C$22)*$C$8-1*$C$9+CHOOSE(Assumptions!$C$60,$C$15*((1+I$29)*($B34/Assumptions!$C$22)*$C$11*(1-(Assumptions!$C$28+Assumptions!$C$29+Assumptions!$C$31+Assumptions!$C$30))-($B34/Assumptions!$C$22)*$C$12-1*$C$13)*(1+Assumptions!$C$62)/Assumptions!$C$61*(1-Assumptions!$C$63),$C$15*((1+I$29)*($B34/Assumptions!$C$22)*$C$11*(1-(Assumptions!$C$28+Assumptions!$C$29+Assumptions!$C$31+Assumptions!$C$30+Assumptions!$C$32))-($B34/Assumptions!$C$22)*$C$12-1*$C$13)*(1+Assumptions!$C$62)/(Assumptions!$C$59-Assumptions!$C$62)*(1-((1+Assumptions!$C$62)/(1+Assumptions!$C$59))^(Assumptions!$C$58-Assumptions!$C$57)),$C$15*1*$C$14,0)</f>
        <v>189547075.611782</v>
      </c>
    </row>
    <row r="36" customFormat="false" ht="15" hidden="false" customHeight="false" outlineLevel="0" collapsed="false">
      <c r="B36" s="8" t="s">
        <v>385</v>
      </c>
      <c r="C36" s="9"/>
      <c r="D36" s="9"/>
      <c r="E36" s="9"/>
      <c r="F36" s="9"/>
      <c r="G36" s="9"/>
      <c r="H36" s="9"/>
      <c r="I36" s="9"/>
      <c r="J36" s="9"/>
      <c r="K36" s="9"/>
    </row>
    <row r="37" customFormat="false" ht="15" hidden="false" customHeight="false" outlineLevel="0" collapsed="false">
      <c r="B37" s="32" t="s">
        <v>386</v>
      </c>
    </row>
    <row r="38" customFormat="false" ht="15" hidden="false" customHeight="false" outlineLevel="0" collapsed="false">
      <c r="B38" s="98" t="s">
        <v>382</v>
      </c>
      <c r="C38" s="103" t="n">
        <v>0.07</v>
      </c>
      <c r="D38" s="103" t="n">
        <v>0.075</v>
      </c>
      <c r="E38" s="103" t="n">
        <v>0.08</v>
      </c>
      <c r="F38" s="103" t="n">
        <v>0.085</v>
      </c>
      <c r="G38" s="103" t="n">
        <v>0.09</v>
      </c>
      <c r="H38" s="103" t="n">
        <v>0.095</v>
      </c>
      <c r="I38" s="103" t="n">
        <v>0.1</v>
      </c>
    </row>
    <row r="39" customFormat="false" ht="15" hidden="false" customHeight="false" outlineLevel="0" collapsed="false">
      <c r="B39" s="103" t="n">
        <v>0.1</v>
      </c>
      <c r="C39" s="101" t="n">
        <f aca="false">SUMPRODUCT('Cash Flow'!$D$79:$N$79/(1+$B39)^'Cash Flow'!$D$51:$N$51)+'Cash Flow'!$N$74*(1+Assumptions!$C$62)*(1-Assumptions!$C$63)/C$38/(1+$B39)^10</f>
        <v>1144880846.9711</v>
      </c>
      <c r="D39" s="101" t="n">
        <f aca="false">SUMPRODUCT('Cash Flow'!$D$79:$N$79/(1+$B39)^'Cash Flow'!$D$51:$N$51)+'Cash Flow'!$N$74*(1+Assumptions!$C$62)*(1-Assumptions!$C$63)/D$38/(1+$B39)^10</f>
        <v>934544583.289206</v>
      </c>
      <c r="E39" s="101" t="n">
        <f aca="false">SUMPRODUCT('Cash Flow'!$D$79:$N$79/(1+$B39)^'Cash Flow'!$D$51:$N$51)+'Cash Flow'!$N$74*(1+Assumptions!$C$62)*(1-Assumptions!$C$63)/E$38/(1+$B39)^10</f>
        <v>750500352.567547</v>
      </c>
      <c r="F39" s="101" t="n">
        <f aca="false">SUMPRODUCT('Cash Flow'!$D$79:$N$79/(1+$B39)^'Cash Flow'!$D$51:$N$51)+'Cash Flow'!$N$74*(1+Assumptions!$C$62)*(1-Assumptions!$C$63)/F$38/(1+$B39)^10</f>
        <v>588108384.28373</v>
      </c>
      <c r="G39" s="101" t="n">
        <f aca="false">SUMPRODUCT('Cash Flow'!$D$79:$N$79/(1+$B39)^'Cash Flow'!$D$51:$N$51)+'Cash Flow'!$N$74*(1+Assumptions!$C$62)*(1-Assumptions!$C$63)/G$38/(1+$B39)^10</f>
        <v>443759968.031449</v>
      </c>
      <c r="H39" s="101" t="n">
        <f aca="false">SUMPRODUCT('Cash Flow'!$D$79:$N$79/(1+$B39)^'Cash Flow'!$D$51:$N$51)+'Cash Flow'!$N$74*(1+Assumptions!$C$62)*(1-Assumptions!$C$63)/H$38/(1+$B39)^10</f>
        <v>314606121.910987</v>
      </c>
      <c r="I39" s="101" t="n">
        <f aca="false">SUMPRODUCT('Cash Flow'!$D$79:$N$79/(1+$B39)^'Cash Flow'!$D$51:$N$51)+'Cash Flow'!$N$74*(1+Assumptions!$C$62)*(1-Assumptions!$C$63)/I$38/(1+$B39)^10</f>
        <v>198367660.402571</v>
      </c>
    </row>
    <row r="40" customFormat="false" ht="15" hidden="false" customHeight="false" outlineLevel="0" collapsed="false">
      <c r="B40" s="103" t="n">
        <v>0.11</v>
      </c>
      <c r="C40" s="101" t="n">
        <f aca="false">SUMPRODUCT('Cash Flow'!$D$79:$N$79/(1+$B40)^'Cash Flow'!$D$51:$N$51)+'Cash Flow'!$N$74*(1+Assumptions!$C$62)*(1-Assumptions!$C$63)/C$38/(1+$B40)^10</f>
        <v>756181229.77089</v>
      </c>
      <c r="D40" s="101" t="n">
        <f aca="false">SUMPRODUCT('Cash Flow'!$D$79:$N$79/(1+$B40)^'Cash Flow'!$D$51:$N$51)+'Cash Flow'!$N$74*(1+Assumptions!$C$62)*(1-Assumptions!$C$63)/D$38/(1+$B40)^10</f>
        <v>564044135.381865</v>
      </c>
      <c r="E40" s="101" t="n">
        <f aca="false">SUMPRODUCT('Cash Flow'!$D$79:$N$79/(1+$B40)^'Cash Flow'!$D$51:$N$51)+'Cash Flow'!$N$74*(1+Assumptions!$C$62)*(1-Assumptions!$C$63)/E$38/(1+$B40)^10</f>
        <v>395924177.791467</v>
      </c>
      <c r="F40" s="101" t="n">
        <f aca="false">SUMPRODUCT('Cash Flow'!$D$79:$N$79/(1+$B40)^'Cash Flow'!$D$51:$N$51)+'Cash Flow'!$N$74*(1+Assumptions!$C$62)*(1-Assumptions!$C$63)/F$38/(1+$B40)^10</f>
        <v>247583038.741117</v>
      </c>
      <c r="G40" s="101" t="n">
        <f aca="false">SUMPRODUCT('Cash Flow'!$D$79:$N$79/(1+$B40)^'Cash Flow'!$D$51:$N$51)+'Cash Flow'!$N$74*(1+Assumptions!$C$62)*(1-Assumptions!$C$63)/G$38/(1+$B40)^10</f>
        <v>115724248.474139</v>
      </c>
      <c r="H40" s="101" t="n">
        <f aca="false">SUMPRODUCT('Cash Flow'!$D$79:$N$79/(1+$B40)^'Cash Flow'!$D$51:$N$51)+'Cash Flow'!$N$74*(1+Assumptions!$C$62)*(1-Assumptions!$C$63)/H$38/(1+$B40)^10</f>
        <v>-2254669.13315797</v>
      </c>
      <c r="I40" s="101" t="n">
        <f aca="false">SUMPRODUCT('Cash Flow'!$D$79:$N$79/(1+$B40)^'Cash Flow'!$D$51:$N$51)+'Cash Flow'!$N$74*(1+Assumptions!$C$62)*(1-Assumptions!$C$63)/I$38/(1+$B40)^10</f>
        <v>-108435694.979725</v>
      </c>
    </row>
    <row r="41" customFormat="false" ht="15" hidden="false" customHeight="false" outlineLevel="0" collapsed="false">
      <c r="B41" s="103" t="n">
        <v>0.12</v>
      </c>
      <c r="C41" s="101" t="n">
        <f aca="false">SUMPRODUCT('Cash Flow'!$D$79:$N$79/(1+$B41)^'Cash Flow'!$D$51:$N$51)+'Cash Flow'!$N$74*(1+Assumptions!$C$62)*(1-Assumptions!$C$63)/C$38/(1+$B41)^10</f>
        <v>400985394.605121</v>
      </c>
      <c r="D41" s="101" t="n">
        <f aca="false">SUMPRODUCT('Cash Flow'!$D$79:$N$79/(1+$B41)^'Cash Flow'!$D$51:$N$51)+'Cash Flow'!$N$74*(1+Assumptions!$C$62)*(1-Assumptions!$C$63)/D$38/(1+$B41)^10</f>
        <v>225330288.04041</v>
      </c>
      <c r="E41" s="101" t="n">
        <f aca="false">SUMPRODUCT('Cash Flow'!$D$79:$N$79/(1+$B41)^'Cash Flow'!$D$51:$N$51)+'Cash Flow'!$N$74*(1+Assumptions!$C$62)*(1-Assumptions!$C$63)/E$38/(1+$B41)^10</f>
        <v>71632069.7962866</v>
      </c>
      <c r="F41" s="102" t="n">
        <f aca="false">SUMPRODUCT('Cash Flow'!$D$79:$N$79/(1+$B41)^'Cash Flow'!$D$51:$N$51)+'Cash Flow'!$N$74*(1+Assumptions!$C$62)*(1-Assumptions!$C$63)/F$38/(1+$B41)^10</f>
        <v>-63984005.1249986</v>
      </c>
      <c r="G41" s="101" t="n">
        <f aca="false">SUMPRODUCT('Cash Flow'!$D$79:$N$79/(1+$B41)^'Cash Flow'!$D$51:$N$51)+'Cash Flow'!$N$74*(1+Assumptions!$C$62)*(1-Assumptions!$C$63)/G$38/(1+$B41)^10</f>
        <v>-184531627.277252</v>
      </c>
      <c r="H41" s="101" t="n">
        <f aca="false">SUMPRODUCT('Cash Flow'!$D$79:$N$79/(1+$B41)^'Cash Flow'!$D$51:$N$51)+'Cash Flow'!$N$74*(1+Assumptions!$C$62)*(1-Assumptions!$C$63)/H$38/(1+$B41)^10</f>
        <v>-292390026.045058</v>
      </c>
      <c r="I41" s="101" t="n">
        <f aca="false">SUMPRODUCT('Cash Flow'!$D$79:$N$79/(1+$B41)^'Cash Flow'!$D$51:$N$51)+'Cash Flow'!$N$74*(1+Assumptions!$C$62)*(1-Assumptions!$C$63)/I$38/(1+$B41)^10</f>
        <v>-389462584.936083</v>
      </c>
    </row>
    <row r="42" customFormat="false" ht="15" hidden="false" customHeight="false" outlineLevel="0" collapsed="false">
      <c r="B42" s="103" t="n">
        <v>0.13</v>
      </c>
      <c r="C42" s="101" t="n">
        <f aca="false">SUMPRODUCT('Cash Flow'!$D$79:$N$79/(1+$B42)^'Cash Flow'!$D$51:$N$51)+'Cash Flow'!$N$74*(1+Assumptions!$C$62)*(1-Assumptions!$C$63)/C$38/(1+$B42)^10</f>
        <v>76035241.535985</v>
      </c>
      <c r="D42" s="101" t="n">
        <f aca="false">SUMPRODUCT('Cash Flow'!$D$79:$N$79/(1+$B42)^'Cash Flow'!$D$51:$N$51)+'Cash Flow'!$N$74*(1+Assumptions!$C$62)*(1-Assumptions!$C$63)/D$38/(1+$B42)^10</f>
        <v>-84679817.3637652</v>
      </c>
      <c r="E42" s="101" t="n">
        <f aca="false">SUMPRODUCT('Cash Flow'!$D$79:$N$79/(1+$B42)^'Cash Flow'!$D$51:$N$51)+'Cash Flow'!$N$74*(1+Assumptions!$C$62)*(1-Assumptions!$C$63)/E$38/(1+$B42)^10</f>
        <v>-225305493.901047</v>
      </c>
      <c r="F42" s="101" t="n">
        <f aca="false">SUMPRODUCT('Cash Flow'!$D$79:$N$79/(1+$B42)^'Cash Flow'!$D$51:$N$51)+'Cash Flow'!$N$74*(1+Assumptions!$C$62)*(1-Assumptions!$C$63)/F$38/(1+$B42)^10</f>
        <v>-349386973.198649</v>
      </c>
      <c r="G42" s="101" t="n">
        <f aca="false">SUMPRODUCT('Cash Flow'!$D$79:$N$79/(1+$B42)^'Cash Flow'!$D$51:$N$51)+'Cash Flow'!$N$74*(1+Assumptions!$C$62)*(1-Assumptions!$C$63)/G$38/(1+$B42)^10</f>
        <v>-459681621.463184</v>
      </c>
      <c r="H42" s="101" t="n">
        <f aca="false">SUMPRODUCT('Cash Flow'!$D$79:$N$79/(1+$B42)^'Cash Flow'!$D$51:$N$51)+'Cash Flow'!$N$74*(1+Assumptions!$C$62)*(1-Assumptions!$C$63)/H$38/(1+$B42)^10</f>
        <v>-558366306.752505</v>
      </c>
      <c r="I42" s="101" t="n">
        <f aca="false">SUMPRODUCT('Cash Flow'!$D$79:$N$79/(1+$B42)^'Cash Flow'!$D$51:$N$51)+'Cash Flow'!$N$74*(1+Assumptions!$C$62)*(1-Assumptions!$C$63)/I$38/(1+$B42)^10</f>
        <v>-647182523.512893</v>
      </c>
    </row>
    <row r="43" customFormat="false" ht="15" hidden="false" customHeight="false" outlineLevel="0" collapsed="false">
      <c r="B43" s="103" t="n">
        <v>0.14</v>
      </c>
      <c r="C43" s="101" t="n">
        <f aca="false">SUMPRODUCT('Cash Flow'!$D$79:$N$79/(1+$B43)^'Cash Flow'!$D$51:$N$51)+'Cash Flow'!$N$74*(1+Assumptions!$C$62)*(1-Assumptions!$C$63)/C$38/(1+$B43)^10</f>
        <v>-221580614.862582</v>
      </c>
      <c r="D43" s="101" t="n">
        <f aca="false">SUMPRODUCT('Cash Flow'!$D$79:$N$79/(1+$B43)^'Cash Flow'!$D$51:$N$51)+'Cash Flow'!$N$74*(1+Assumptions!$C$62)*(1-Assumptions!$C$63)/D$38/(1+$B43)^10</f>
        <v>-368741534.533825</v>
      </c>
      <c r="E43" s="101" t="n">
        <f aca="false">SUMPRODUCT('Cash Flow'!$D$79:$N$79/(1+$B43)^'Cash Flow'!$D$51:$N$51)+'Cash Flow'!$N$74*(1+Assumptions!$C$62)*(1-Assumptions!$C$63)/E$38/(1+$B43)^10</f>
        <v>-497507339.246162</v>
      </c>
      <c r="F43" s="101" t="n">
        <f aca="false">SUMPRODUCT('Cash Flow'!$D$79:$N$79/(1+$B43)^'Cash Flow'!$D$51:$N$51)+'Cash Flow'!$N$74*(1+Assumptions!$C$62)*(1-Assumptions!$C$63)/F$38/(1+$B43)^10</f>
        <v>-611124225.757049</v>
      </c>
      <c r="G43" s="101" t="n">
        <f aca="false">SUMPRODUCT('Cash Flow'!$D$79:$N$79/(1+$B43)^'Cash Flow'!$D$51:$N$51)+'Cash Flow'!$N$74*(1+Assumptions!$C$62)*(1-Assumptions!$C$63)/G$38/(1+$B43)^10</f>
        <v>-712117013.766725</v>
      </c>
      <c r="H43" s="101" t="n">
        <f aca="false">SUMPRODUCT('Cash Flow'!$D$79:$N$79/(1+$B43)^'Cash Flow'!$D$51:$N$51)+'Cash Flow'!$N$74*(1+Assumptions!$C$62)*(1-Assumptions!$C$63)/H$38/(1+$B43)^10</f>
        <v>-802478981.98591</v>
      </c>
      <c r="I43" s="101" t="n">
        <f aca="false">SUMPRODUCT('Cash Flow'!$D$79:$N$79/(1+$B43)^'Cash Flow'!$D$51:$N$51)+'Cash Flow'!$N$74*(1+Assumptions!$C$62)*(1-Assumptions!$C$63)/I$38/(1+$B43)^10</f>
        <v>-883804753.383175</v>
      </c>
    </row>
    <row r="45" customFormat="false" ht="15" hidden="false" customHeight="false" outlineLevel="0" collapsed="false">
      <c r="B45" s="8" t="s">
        <v>387</v>
      </c>
      <c r="C45" s="9"/>
      <c r="D45" s="9"/>
      <c r="E45" s="9"/>
      <c r="F45" s="9"/>
      <c r="G45" s="9"/>
      <c r="H45" s="9"/>
      <c r="I45" s="9"/>
      <c r="J45" s="9"/>
      <c r="K45" s="9"/>
    </row>
    <row r="46" customFormat="false" ht="15" hidden="false" customHeight="false" outlineLevel="0" collapsed="false">
      <c r="B46" s="10" t="s">
        <v>388</v>
      </c>
      <c r="C46" s="11" t="s">
        <v>389</v>
      </c>
      <c r="D46" s="11" t="s">
        <v>390</v>
      </c>
      <c r="E46" s="11" t="s">
        <v>391</v>
      </c>
      <c r="F46" s="11" t="s">
        <v>392</v>
      </c>
      <c r="G46" s="11" t="s">
        <v>393</v>
      </c>
      <c r="H46" s="11" t="s">
        <v>394</v>
      </c>
      <c r="I46" s="11" t="s">
        <v>395</v>
      </c>
    </row>
    <row r="47" customFormat="false" ht="15" hidden="false" customHeight="false" outlineLevel="0" collapsed="false">
      <c r="B47" s="35" t="s">
        <v>396</v>
      </c>
      <c r="C47" s="104" t="s">
        <v>397</v>
      </c>
      <c r="D47" s="104" t="s">
        <v>398</v>
      </c>
      <c r="E47" s="91" t="n">
        <f aca="false">-1*$D$10+(0.9)*1*$D$7*(1-(Assumptions!$C$28+Assumptions!$C$29+Assumptions!$C$31+Assumptions!$C$30+Assumptions!$C$32))-1*$D$8-1*$D$9+CHOOSE(Assumptions!$C$60,$D$15*((0.9)*1*$D$11*(1-(Assumptions!$C$28+Assumptions!$C$29+Assumptions!$C$31+Assumptions!$C$30))-1*$D$12-1*$D$13)*(1+Assumptions!$C$62)/Assumptions!$C$61*(1-Assumptions!$C$63),$D$15*((0.9)*1*$D$11*(1-(Assumptions!$C$28+Assumptions!$C$29+Assumptions!$C$31+Assumptions!$C$30+Assumptions!$C$32))-1*$D$12-1*$D$13)*(1+Assumptions!$C$62)/(Assumptions!$C$59-Assumptions!$C$62)*(1-((1+Assumptions!$C$62)/(1+Assumptions!$C$59))^(Assumptions!$C$58-Assumptions!$C$57)),$D$15*1*$D$14,0)</f>
        <v>-996718942.492669</v>
      </c>
      <c r="F47" s="91" t="n">
        <f aca="false">-1*$D$10+(1.1)*1*$D$7*(1-(Assumptions!$C$28+Assumptions!$C$29+Assumptions!$C$31+Assumptions!$C$30+Assumptions!$C$32))-1*$D$8-1*$D$9+CHOOSE(Assumptions!$C$60,$D$15*((1.1)*1*$D$11*(1-(Assumptions!$C$28+Assumptions!$C$29+Assumptions!$C$31+Assumptions!$C$30))-1*$D$12-1*$D$13)*(1+Assumptions!$C$62)/Assumptions!$C$61*(1-Assumptions!$C$63),$D$15*((1.1)*1*$D$11*(1-(Assumptions!$C$28+Assumptions!$C$29+Assumptions!$C$31+Assumptions!$C$30+Assumptions!$C$32))-1*$D$12-1*$D$13)*(1+Assumptions!$C$62)/(Assumptions!$C$59-Assumptions!$C$62)*(1-((1+Assumptions!$C$62)/(1+Assumptions!$C$59))^(Assumptions!$C$58-Assumptions!$C$57)),$D$15*1*$D$14,0)</f>
        <v>450838068.070273</v>
      </c>
      <c r="G47" s="91" t="n">
        <f aca="false">ABS(F47-E47)</f>
        <v>1447557010.56294</v>
      </c>
      <c r="H47" s="91" t="n">
        <f aca="false">E47-'Cash Flow'!$E$107</f>
        <v>-723778505.281472</v>
      </c>
      <c r="I47" s="91" t="n">
        <f aca="false">F47-'Cash Flow'!$E$107</f>
        <v>723778505.281471</v>
      </c>
    </row>
    <row r="48" customFormat="false" ht="15" hidden="false" customHeight="false" outlineLevel="0" collapsed="false">
      <c r="B48" s="35" t="s">
        <v>399</v>
      </c>
      <c r="C48" s="104" t="s">
        <v>400</v>
      </c>
      <c r="D48" s="104" t="s">
        <v>401</v>
      </c>
      <c r="E48" s="91" t="n">
        <f aca="false">-1*$D$10+1*((Assumptions!$C$22-0.05)/Assumptions!$C$22)*$D$7*(1-(Assumptions!$C$28+Assumptions!$C$29+Assumptions!$C$31+Assumptions!$C$30+Assumptions!$C$32))-((Assumptions!$C$22-0.05)/Assumptions!$C$22)*$D$8-1*$D$9+CHOOSE(Assumptions!$C$60,$D$15*(1*((Assumptions!$C$22-0.05)/Assumptions!$C$22)*$D$11*(1-(Assumptions!$C$28+Assumptions!$C$29+Assumptions!$C$31+Assumptions!$C$30))-((Assumptions!$C$22-0.05)/Assumptions!$C$22)*$D$12-1*$D$13)*(1+Assumptions!$C$62)/Assumptions!$C$61*(1-Assumptions!$C$63),$D$15*(1*((Assumptions!$C$22-0.05)/Assumptions!$C$22)*$D$11*(1-(Assumptions!$C$28+Assumptions!$C$29+Assumptions!$C$31+Assumptions!$C$30+Assumptions!$C$32))-((Assumptions!$C$22-0.05)/Assumptions!$C$22)*$D$12-1*$D$13)*(1+Assumptions!$C$62)/(Assumptions!$C$59-Assumptions!$C$62)*(1-((1+Assumptions!$C$62)/(1+Assumptions!$C$59))^(Assumptions!$C$58-Assumptions!$C$57)),$D$15*1*$D$14,0)</f>
        <v>-647838377.516962</v>
      </c>
      <c r="F48" s="91" t="n">
        <f aca="false">-1*$D$10+1*((Assumptions!$C$22+0.05)/Assumptions!$C$22)*$D$7*(1-(Assumptions!$C$28+Assumptions!$C$29+Assumptions!$C$31+Assumptions!$C$30+Assumptions!$C$32))-((Assumptions!$C$22+0.05)/Assumptions!$C$22)*$D$8-1*$D$9+CHOOSE(Assumptions!$C$60,$D$15*(1*((Assumptions!$C$22+0.05)/Assumptions!$C$22)*$D$11*(1-(Assumptions!$C$28+Assumptions!$C$29+Assumptions!$C$31+Assumptions!$C$30))-((Assumptions!$C$22+0.05)/Assumptions!$C$22)*$D$12-1*$D$13)*(1+Assumptions!$C$62)/Assumptions!$C$61*(1-Assumptions!$C$63),$D$15*(1*((Assumptions!$C$22+0.05)/Assumptions!$C$22)*$D$11*(1-(Assumptions!$C$28+Assumptions!$C$29+Assumptions!$C$31+Assumptions!$C$30+Assumptions!$C$32))-((Assumptions!$C$22+0.05)/Assumptions!$C$22)*$D$12-1*$D$13)*(1+Assumptions!$C$62)/(Assumptions!$C$59-Assumptions!$C$62)*(1-((1+Assumptions!$C$62)/(1+Assumptions!$C$59))^(Assumptions!$C$58-Assumptions!$C$57)),$D$15*1*$D$14,0)</f>
        <v>101957503.094566</v>
      </c>
      <c r="G48" s="91" t="n">
        <f aca="false">ABS(F48-E48)</f>
        <v>749795880.611529</v>
      </c>
      <c r="H48" s="91" t="n">
        <f aca="false">E48-'Cash Flow'!$E$107</f>
        <v>-374897940.305764</v>
      </c>
      <c r="I48" s="91" t="n">
        <f aca="false">F48-'Cash Flow'!$E$107</f>
        <v>374897940.305764</v>
      </c>
    </row>
    <row r="49" customFormat="false" ht="15" hidden="false" customHeight="false" outlineLevel="0" collapsed="false">
      <c r="B49" s="35" t="s">
        <v>402</v>
      </c>
      <c r="C49" s="104" t="s">
        <v>398</v>
      </c>
      <c r="D49" s="104" t="s">
        <v>397</v>
      </c>
      <c r="E49" s="91" t="n">
        <f aca="false">-1.1*$D$10+1*1*$D$7*(1-(Assumptions!$C$28+Assumptions!$C$29+Assumptions!$C$31+Assumptions!$C$30+Assumptions!$C$32))-1*$D$8-1*$D$9+CHOOSE(Assumptions!$C$60,$D$15*(1*1*$D$11*(1-(Assumptions!$C$28+Assumptions!$C$29+Assumptions!$C$31+Assumptions!$C$30))-1*$D$12-1*$D$13)*(1+Assumptions!$C$62)/Assumptions!$C$61*(1-Assumptions!$C$63),$D$15*(1*1*$D$11*(1-(Assumptions!$C$28+Assumptions!$C$29+Assumptions!$C$31+Assumptions!$C$30+Assumptions!$C$32))-1*$D$12-1*$D$13)*(1+Assumptions!$C$62)/(Assumptions!$C$59-Assumptions!$C$62)*(1-((1+Assumptions!$C$62)/(1+Assumptions!$C$59))^(Assumptions!$C$58-Assumptions!$C$57)),$D$15*1.1*$D$14,0)</f>
        <v>-732737803.641311</v>
      </c>
      <c r="F49" s="91" t="n">
        <f aca="false">-0.9*$D$10+1*1*$D$7*(1-(Assumptions!$C$28+Assumptions!$C$29+Assumptions!$C$31+Assumptions!$C$30+Assumptions!$C$32))-1*$D$8-1*$D$9+CHOOSE(Assumptions!$C$60,$D$15*(1*1*$D$11*(1-(Assumptions!$C$28+Assumptions!$C$29+Assumptions!$C$31+Assumptions!$C$30))-1*$D$12-1*$D$13)*(1+Assumptions!$C$62)/Assumptions!$C$61*(1-Assumptions!$C$63),$D$15*(1*1*$D$11*(1-(Assumptions!$C$28+Assumptions!$C$29+Assumptions!$C$31+Assumptions!$C$30+Assumptions!$C$32))-1*$D$12-1*$D$13)*(1+Assumptions!$C$62)/(Assumptions!$C$59-Assumptions!$C$62)*(1-((1+Assumptions!$C$62)/(1+Assumptions!$C$59))^(Assumptions!$C$58-Assumptions!$C$57)),$D$15*0.9*$D$14,0)</f>
        <v>186856929.218915</v>
      </c>
      <c r="G49" s="91" t="n">
        <f aca="false">ABS(F49-E49)</f>
        <v>919594732.860225</v>
      </c>
      <c r="H49" s="91" t="n">
        <f aca="false">E49-'Cash Flow'!$E$107</f>
        <v>-459797366.430113</v>
      </c>
      <c r="I49" s="91" t="n">
        <f aca="false">F49-'Cash Flow'!$E$107</f>
        <v>459797366.430113</v>
      </c>
    </row>
    <row r="50" customFormat="false" ht="15" hidden="false" customHeight="false" outlineLevel="0" collapsed="false">
      <c r="B50" s="35" t="s">
        <v>403</v>
      </c>
      <c r="C50" s="104" t="s">
        <v>398</v>
      </c>
      <c r="D50" s="104" t="s">
        <v>397</v>
      </c>
      <c r="E50" s="91" t="n">
        <f aca="false">-1*$D$10+1*1*$D$7*(1-(Assumptions!$C$28+Assumptions!$C$29+Assumptions!$C$31+Assumptions!$C$30+Assumptions!$C$32))-1*$D$8-1.1*$D$9+CHOOSE(Assumptions!$C$60,$D$15*(1*1*$D$11*(1-(Assumptions!$C$28+Assumptions!$C$29+Assumptions!$C$31+Assumptions!$C$30))-1*$D$12-1.1*$D$13)*(1+Assumptions!$C$62)/Assumptions!$C$61*(1-Assumptions!$C$63),$D$15*(1*1*$D$11*(1-(Assumptions!$C$28+Assumptions!$C$29+Assumptions!$C$31+Assumptions!$C$30+Assumptions!$C$32))-1*$D$12-1.1*$D$13)*(1+Assumptions!$C$62)/(Assumptions!$C$59-Assumptions!$C$62)*(1-((1+Assumptions!$C$62)/(1+Assumptions!$C$59))^(Assumptions!$C$58-Assumptions!$C$57)),$D$15*1*$D$14,0)</f>
        <v>-515253407.052581</v>
      </c>
      <c r="F50" s="91" t="n">
        <f aca="false">-1*$D$10+1*1*$D$7*(1-(Assumptions!$C$28+Assumptions!$C$29+Assumptions!$C$31+Assumptions!$C$30+Assumptions!$C$32))-1*$D$8-0.9*$D$9+CHOOSE(Assumptions!$C$60,$D$15*(1*1*$D$11*(1-(Assumptions!$C$28+Assumptions!$C$29+Assumptions!$C$31+Assumptions!$C$30))-1*$D$12-0.9*$D$13)*(1+Assumptions!$C$62)/Assumptions!$C$61*(1-Assumptions!$C$63),$D$15*(1*1*$D$11*(1-(Assumptions!$C$28+Assumptions!$C$29+Assumptions!$C$31+Assumptions!$C$30+Assumptions!$C$32))-1*$D$12-0.9*$D$13)*(1+Assumptions!$C$62)/(Assumptions!$C$59-Assumptions!$C$62)*(1-((1+Assumptions!$C$62)/(1+Assumptions!$C$59))^(Assumptions!$C$58-Assumptions!$C$57)),$D$15*1*$D$14,0)</f>
        <v>-30627467.3698156</v>
      </c>
      <c r="G50" s="91" t="n">
        <f aca="false">ABS(F50-E50)</f>
        <v>484625939.682765</v>
      </c>
      <c r="H50" s="91" t="n">
        <f aca="false">E50-'Cash Flow'!$E$107</f>
        <v>-242312969.841383</v>
      </c>
      <c r="I50" s="91" t="n">
        <f aca="false">F50-'Cash Flow'!$E$107</f>
        <v>242312969.841382</v>
      </c>
    </row>
    <row r="51" customFormat="false" ht="15" hidden="false" customHeight="false" outlineLevel="0" collapsed="false">
      <c r="B51" s="35" t="s">
        <v>404</v>
      </c>
      <c r="C51" s="104" t="s">
        <v>405</v>
      </c>
      <c r="D51" s="104" t="s">
        <v>406</v>
      </c>
      <c r="E51" s="91" t="n">
        <f aca="false">SUMPRODUCT('Cash Flow'!$D$79:$N$79/(1+(Assumptions!$C$59+0.02))^'Cash Flow'!$D$51:$N$51)+CHOOSE(Assumptions!$C$60,'Cash Flow'!$N$80,('Cash Flow'!$N$74+'Cash Flow'!$N$77)*(1+Assumptions!$C$62)/((Assumptions!$C$59+0.02)-Assumptions!$C$62)*(1-((1+Assumptions!$C$62)/(1+(Assumptions!$C$59+0.02)))^(Assumptions!$C$58-Assumptions!$C$57)),'Cash Flow'!$N$82,0)/(1+(Assumptions!$C$59+0.02))^10</f>
        <v>-1049015573.15676</v>
      </c>
      <c r="F51" s="91" t="n">
        <f aca="false">SUMPRODUCT('Cash Flow'!$D$79:$N$79/(1+(Assumptions!$C$59-0.02))^'Cash Flow'!$D$51:$N$51)+CHOOSE(Assumptions!$C$60,'Cash Flow'!$N$80,('Cash Flow'!$N$74+'Cash Flow'!$N$77)*(1+Assumptions!$C$62)/((Assumptions!$C$59-0.02)-Assumptions!$C$62)*(1-((1+Assumptions!$C$62)/(1+(Assumptions!$C$59-0.02)))^(Assumptions!$C$58-Assumptions!$C$57)),'Cash Flow'!$N$82,0)/(1+(Assumptions!$C$59-0.02))^10</f>
        <v>848084484.887832</v>
      </c>
      <c r="G51" s="91" t="n">
        <f aca="false">ABS(F51-E51)</f>
        <v>1897100058.04459</v>
      </c>
      <c r="H51" s="91" t="n">
        <f aca="false">E51-'Cash Flow'!$E$107</f>
        <v>-776075135.945559</v>
      </c>
      <c r="I51" s="91" t="n">
        <f aca="false">F51-'Cash Flow'!$E$107</f>
        <v>1121024922.09903</v>
      </c>
    </row>
    <row r="52" customFormat="false" ht="15" hidden="false" customHeight="false" outlineLevel="0" collapsed="false">
      <c r="B52" s="27" t="s">
        <v>407</v>
      </c>
      <c r="E52" s="92" t="n">
        <f aca="false">'Cash Flow'!$E$107</f>
        <v>-272940437.211198</v>
      </c>
    </row>
    <row r="54" customFormat="false" ht="15" hidden="false" customHeight="false" outlineLevel="0" collapsed="false">
      <c r="B54" s="8" t="s">
        <v>408</v>
      </c>
      <c r="C54" s="9"/>
      <c r="D54" s="9"/>
      <c r="E54" s="9"/>
      <c r="F54" s="9"/>
      <c r="G54" s="9"/>
      <c r="H54" s="9"/>
      <c r="I54" s="9"/>
      <c r="J54" s="9"/>
      <c r="K54" s="9"/>
    </row>
    <row r="55" customFormat="false" ht="15" hidden="false" customHeight="false" outlineLevel="0" collapsed="false">
      <c r="B55" s="10" t="s">
        <v>388</v>
      </c>
      <c r="C55" s="11" t="s">
        <v>9</v>
      </c>
      <c r="D55" s="11" t="s">
        <v>10</v>
      </c>
      <c r="E55" s="11" t="s">
        <v>409</v>
      </c>
    </row>
    <row r="56" customFormat="false" ht="15" hidden="false" customHeight="false" outlineLevel="0" collapsed="false">
      <c r="B56" s="35" t="s">
        <v>410</v>
      </c>
      <c r="C56" s="105" t="n">
        <f aca="false">IFERROR(-'Cash Flow'!$D$107/((-1*$C$10+1.01*1*$C$7*(1-(Assumptions!$C$28+Assumptions!$C$29+Assumptions!$C$31+Assumptions!$C$30+Assumptions!$C$32))-1*$C$8-1*$C$9+CHOOSE(Assumptions!$C$60,$C$15*(1.01*1*$C$11*(1-(Assumptions!$C$28+Assumptions!$C$29+Assumptions!$C$31+Assumptions!$C$30))-1*$C$12-1*$C$13)*(1+Assumptions!$C$62)/Assumptions!$C$61*(1-Assumptions!$C$63),$C$15*(1.01*1*$C$11*(1-(Assumptions!$C$28+Assumptions!$C$29+Assumptions!$C$31+Assumptions!$C$30+Assumptions!$C$32))-1*$C$12-1*$C$13)*(1+Assumptions!$C$62)/(Assumptions!$C$59-Assumptions!$C$62)*(1-((1+Assumptions!$C$62)/(1+Assumptions!$C$59))^(Assumptions!$C$58-Assumptions!$C$57)),$C$15*1*$C$14,0))-'Cash Flow'!$D$107)*0.01,0)</f>
        <v>0.177395939172333</v>
      </c>
      <c r="D56" s="105" t="n">
        <f aca="false">IFERROR(-'Cash Flow'!$E$107/((-1*$D$10+1.01*1*$D$7*(1-(Assumptions!$C$28+Assumptions!$C$29+Assumptions!$C$31+Assumptions!$C$30+Assumptions!$C$32))-1*$D$8-1*$D$9+CHOOSE(Assumptions!$C$60,$D$15*(1.01*1*$D$11*(1-(Assumptions!$C$28+Assumptions!$C$29+Assumptions!$C$31+Assumptions!$C$30))-1*$D$12-1*$D$13)*(1+Assumptions!$C$62)/Assumptions!$C$61*(1-Assumptions!$C$63),$D$15*(1.01*1*$D$11*(1-(Assumptions!$C$28+Assumptions!$C$29+Assumptions!$C$31+Assumptions!$C$30+Assumptions!$C$32))-1*$D$12-1*$D$13)*(1+Assumptions!$C$62)/(Assumptions!$C$59-Assumptions!$C$62)*(1-((1+Assumptions!$C$62)/(1+Assumptions!$C$59))^(Assumptions!$C$58-Assumptions!$C$57)),$D$15*1*$D$14,0))-'Cash Flow'!$E$107)*0.01,0)</f>
        <v>0.0377104922596528</v>
      </c>
      <c r="E56" s="32" t="s">
        <v>411</v>
      </c>
    </row>
    <row r="57" customFormat="false" ht="15" hidden="false" customHeight="false" outlineLevel="0" collapsed="false">
      <c r="B57" s="35" t="s">
        <v>412</v>
      </c>
      <c r="C57" s="105" t="n">
        <f aca="false">IFERROR(-'Cash Flow'!$D$107/((-1.01*$C$10+1*1*$C$7*(1-(Assumptions!$C$28+Assumptions!$C$29+Assumptions!$C$31+Assumptions!$C$30+Assumptions!$C$32))-1*$C$8-1*$C$9+CHOOSE(Assumptions!$C$60,$C$15*(1*1*$C$11*(1-(Assumptions!$C$28+Assumptions!$C$29+Assumptions!$C$31+Assumptions!$C$30))-1*$C$12-1*$C$13)*(1+Assumptions!$C$62)/Assumptions!$C$61*(1-Assumptions!$C$63),$C$15*(1*1*$C$11*(1-(Assumptions!$C$28+Assumptions!$C$29+Assumptions!$C$31+Assumptions!$C$30+Assumptions!$C$32))-1*$C$12-1*$C$13)*(1+Assumptions!$C$62)/(Assumptions!$C$59-Assumptions!$C$62)*(1-((1+Assumptions!$C$62)/(1+Assumptions!$C$59))^(Assumptions!$C$58-Assumptions!$C$57)),$C$15*1.01*$C$14,0))-'Cash Flow'!$D$107)*0.01,0)</f>
        <v>-0.253414356543546</v>
      </c>
      <c r="D57" s="105" t="n">
        <f aca="false">IFERROR(-'Cash Flow'!$E$107/((-1.01*$D$10+1*1*$D$7*(1-(Assumptions!$C$28+Assumptions!$C$29+Assumptions!$C$31+Assumptions!$C$30+Assumptions!$C$32))-1*$D$8-1*$D$9+CHOOSE(Assumptions!$C$60,$D$15*(1*1*$D$11*(1-(Assumptions!$C$28+Assumptions!$C$29+Assumptions!$C$31+Assumptions!$C$30))-1*$D$12-1*$D$13)*(1+Assumptions!$C$62)/Assumptions!$C$61*(1-Assumptions!$C$63),$D$15*(1*1*$D$11*(1-(Assumptions!$C$28+Assumptions!$C$29+Assumptions!$C$31+Assumptions!$C$30+Assumptions!$C$32))-1*$D$12-1*$D$13)*(1+Assumptions!$C$62)/(Assumptions!$C$59-Assumptions!$C$62)*(1-((1+Assumptions!$C$62)/(1+Assumptions!$C$59))^(Assumptions!$C$58-Assumptions!$C$57)),$D$15*1.01*$D$14,0))-'Cash Flow'!$E$107)*0.01,0)</f>
        <v>-0.059361026647525</v>
      </c>
      <c r="E57" s="32" t="s">
        <v>413</v>
      </c>
    </row>
    <row r="58" customFormat="false" ht="15" hidden="false" customHeight="false" outlineLevel="0" collapsed="false">
      <c r="B58" s="35" t="s">
        <v>414</v>
      </c>
      <c r="C58" s="106" t="str">
        <f aca="false">IFERROR(IF(Assumptions!$C$22*(1-'Cash Flow'!$D$107/((-1*$C$10+1*1.01*$C$7*(1-(Assumptions!$C$28+Assumptions!$C$29+Assumptions!$C$31+Assumptions!$C$30+Assumptions!$C$32))-1.01*$C$8-1*$C$9+CHOOSE(Assumptions!$C$60,$C$15*(1*1.01*$C$11*(1-(Assumptions!$C$28+Assumptions!$C$29+Assumptions!$C$31+Assumptions!$C$30))-1.01*$C$12-1*$C$13)*(1+Assumptions!$C$62)/Assumptions!$C$61*(1-Assumptions!$C$63),$C$15*(1*1.01*$C$11*(1-(Assumptions!$C$28+Assumptions!$C$29+Assumptions!$C$31+Assumptions!$C$30+Assumptions!$C$32))-1.01*$C$12-1*$C$13)*(1+Assumptions!$C$62)/(Assumptions!$C$59-Assumptions!$C$62)*(1-((1+Assumptions!$C$62)/(1+Assumptions!$C$59))^(Assumptions!$C$58-Assumptions!$C$57)),$C$15*1*$C$14,0))-'Cash Flow'!$D$107)*0.01)&gt;1,"&gt; 100%",Assumptions!$C$22*(1-'Cash Flow'!$D$107/((-1*$C$10+1*1.01*$C$7*(1-(Assumptions!$C$28+Assumptions!$C$29+Assumptions!$C$31+Assumptions!$C$30+Assumptions!$C$32))-1.01*$C$8-1*$C$9+CHOOSE(Assumptions!$C$60,$C$15*(1*1.01*$C$11*(1-(Assumptions!$C$28+Assumptions!$C$29+Assumptions!$C$31+Assumptions!$C$30))-1.01*$C$12-1*$C$13)*(1+Assumptions!$C$62)/Assumptions!$C$61*(1-Assumptions!$C$63),$C$15*(1*1.01*$C$11*(1-(Assumptions!$C$28+Assumptions!$C$29+Assumptions!$C$31+Assumptions!$C$30+Assumptions!$C$32))-1.01*$C$12-1*$C$13)*(1+Assumptions!$C$62)/(Assumptions!$C$59-Assumptions!$C$62)*(1-((1+Assumptions!$C$62)/(1+Assumptions!$C$59))^(Assumptions!$C$58-Assumptions!$C$57)),$C$15*1*$C$14,0))-'Cash Flow'!$D$107)*0.01)),0)</f>
        <v>&gt; 100%</v>
      </c>
      <c r="D58" s="106" t="n">
        <f aca="false">IFERROR(IF(Assumptions!$C$22*(1-'Cash Flow'!$E$107/((-1*$D$10+1*1.01*$D$7*(1-(Assumptions!$C$28+Assumptions!$C$29+Assumptions!$C$31+Assumptions!$C$30+Assumptions!$C$32))-1.01*$D$8-1*$D$9+CHOOSE(Assumptions!$C$60,$D$15*(1*1.01*$D$11*(1-(Assumptions!$C$28+Assumptions!$C$29+Assumptions!$C$31+Assumptions!$C$30))-1.01*$D$12-1*$D$13)*(1+Assumptions!$C$62)/Assumptions!$C$61*(1-Assumptions!$C$63),$D$15*(1*1.01*$D$11*(1-(Assumptions!$C$28+Assumptions!$C$29+Assumptions!$C$31+Assumptions!$C$30+Assumptions!$C$32))-1.01*$D$12-1*$D$13)*(1+Assumptions!$C$62)/(Assumptions!$C$59-Assumptions!$C$62)*(1-((1+Assumptions!$C$62)/(1+Assumptions!$C$59))^(Assumptions!$C$58-Assumptions!$C$57)),$D$15*1*$D$14,0))-'Cash Flow'!$E$107)*0.01)&gt;1,"&gt; 100%",Assumptions!$C$22*(1-'Cash Flow'!$E$107/((-1*$D$10+1*1.01*$D$7*(1-(Assumptions!$C$28+Assumptions!$C$29+Assumptions!$C$31+Assumptions!$C$30+Assumptions!$C$32))-1.01*$D$8-1*$D$9+CHOOSE(Assumptions!$C$60,$D$15*(1*1.01*$D$11*(1-(Assumptions!$C$28+Assumptions!$C$29+Assumptions!$C$31+Assumptions!$C$30))-1.01*$D$12-1*$D$13)*(1+Assumptions!$C$62)/Assumptions!$C$61*(1-Assumptions!$C$63),$D$15*(1*1.01*$D$11*(1-(Assumptions!$C$28+Assumptions!$C$29+Assumptions!$C$31+Assumptions!$C$30+Assumptions!$C$32))-1.01*$D$12-1*$D$13)*(1+Assumptions!$C$62)/(Assumptions!$C$59-Assumptions!$C$62)*(1-((1+Assumptions!$C$62)/(1+Assumptions!$C$59))^(Assumptions!$C$58-Assumptions!$C$57)),$D$15*1*$D$14,0))-'Cash Flow'!$E$107)*0.01)),0)</f>
        <v>0.936401965424055</v>
      </c>
      <c r="E58" s="32" t="s">
        <v>415</v>
      </c>
    </row>
  </sheetData>
  <conditionalFormatting sqref="C21:I25">
    <cfRule type="colorScale" priority="2">
      <colorScale>
        <cfvo type="min" val="0"/>
        <cfvo type="num" val="0"/>
        <cfvo type="max" val="0"/>
        <color rgb="FFF8696B"/>
        <color rgb="FFFFFFFF"/>
        <color rgb="FF63BE7B"/>
      </colorScale>
    </cfRule>
  </conditionalFormatting>
  <conditionalFormatting sqref="C30:I34">
    <cfRule type="colorScale" priority="3">
      <colorScale>
        <cfvo type="min" val="0"/>
        <cfvo type="num" val="0"/>
        <cfvo type="max" val="0"/>
        <color rgb="FFF8696B"/>
        <color rgb="FFFFFFFF"/>
        <color rgb="FF63BE7B"/>
      </colorScale>
    </cfRule>
  </conditionalFormatting>
  <conditionalFormatting sqref="C39:I43">
    <cfRule type="colorScale" priority="4">
      <colorScale>
        <cfvo type="min" val="0"/>
        <cfvo type="num" val="0"/>
        <cfvo type="max" val="0"/>
        <color rgb="FFF8696B"/>
        <color rgb="FFFFFFFF"/>
        <color rgb="FF63BE7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5A5A5"/>
    <pageSetUpPr fitToPage="true"/>
  </sheetPr>
  <dimension ref="B2:D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"/>
    <col collapsed="false" customWidth="true" hidden="false" outlineLevel="0" max="3" min="3" style="0" width="34"/>
    <col collapsed="false" customWidth="true" hidden="false" outlineLevel="0" max="4" min="4" style="0" width="100"/>
  </cols>
  <sheetData>
    <row r="2" customFormat="false" ht="19.7" hidden="false" customHeight="false" outlineLevel="0" collapsed="false">
      <c r="B2" s="31" t="s">
        <v>416</v>
      </c>
    </row>
    <row r="3" customFormat="false" ht="15" hidden="false" customHeight="false" outlineLevel="0" collapsed="false">
      <c r="B3" s="32" t="s">
        <v>417</v>
      </c>
    </row>
    <row r="5" customFormat="false" ht="15" hidden="false" customHeight="false" outlineLevel="0" collapsed="false">
      <c r="B5" s="8" t="s">
        <v>418</v>
      </c>
      <c r="C5" s="9"/>
      <c r="D5" s="9"/>
    </row>
    <row r="6" customFormat="false" ht="27.75" hidden="false" customHeight="true" outlineLevel="0" collapsed="false">
      <c r="C6" s="107" t="s">
        <v>419</v>
      </c>
      <c r="D6" s="108" t="s">
        <v>420</v>
      </c>
    </row>
    <row r="7" customFormat="false" ht="27.75" hidden="false" customHeight="true" outlineLevel="0" collapsed="false">
      <c r="C7" s="107" t="s">
        <v>421</v>
      </c>
      <c r="D7" s="108" t="s">
        <v>422</v>
      </c>
    </row>
    <row r="8" customFormat="false" ht="27.75" hidden="false" customHeight="true" outlineLevel="0" collapsed="false">
      <c r="C8" s="107" t="s">
        <v>423</v>
      </c>
      <c r="D8" s="108" t="s">
        <v>424</v>
      </c>
    </row>
    <row r="9" customFormat="false" ht="27.75" hidden="false" customHeight="true" outlineLevel="0" collapsed="false">
      <c r="C9" s="107" t="s">
        <v>211</v>
      </c>
      <c r="D9" s="108" t="s">
        <v>425</v>
      </c>
    </row>
    <row r="11" customFormat="false" ht="15" hidden="false" customHeight="false" outlineLevel="0" collapsed="false">
      <c r="B11" s="8" t="s">
        <v>426</v>
      </c>
      <c r="C11" s="9"/>
      <c r="D11" s="9"/>
    </row>
    <row r="12" customFormat="false" ht="27.75" hidden="false" customHeight="true" outlineLevel="0" collapsed="false">
      <c r="C12" s="107" t="s">
        <v>427</v>
      </c>
      <c r="D12" s="108" t="s">
        <v>428</v>
      </c>
    </row>
    <row r="13" customFormat="false" ht="27.75" hidden="false" customHeight="true" outlineLevel="0" collapsed="false">
      <c r="C13" s="107" t="s">
        <v>429</v>
      </c>
      <c r="D13" s="108" t="s">
        <v>430</v>
      </c>
    </row>
    <row r="14" customFormat="false" ht="27.75" hidden="false" customHeight="true" outlineLevel="0" collapsed="false">
      <c r="C14" s="107" t="s">
        <v>431</v>
      </c>
      <c r="D14" s="108" t="s">
        <v>432</v>
      </c>
    </row>
    <row r="15" customFormat="false" ht="27.75" hidden="false" customHeight="true" outlineLevel="0" collapsed="false">
      <c r="C15" s="107" t="s">
        <v>433</v>
      </c>
      <c r="D15" s="108" t="s">
        <v>434</v>
      </c>
    </row>
    <row r="16" customFormat="false" ht="27.75" hidden="false" customHeight="true" outlineLevel="0" collapsed="false">
      <c r="C16" s="107" t="s">
        <v>435</v>
      </c>
      <c r="D16" s="108" t="s">
        <v>436</v>
      </c>
    </row>
    <row r="17" customFormat="false" ht="27.75" hidden="false" customHeight="true" outlineLevel="0" collapsed="false">
      <c r="C17" s="107" t="s">
        <v>437</v>
      </c>
      <c r="D17" s="108" t="s">
        <v>438</v>
      </c>
    </row>
    <row r="18" customFormat="false" ht="15" hidden="false" customHeight="true" outlineLevel="0" collapsed="false">
      <c r="C18" s="107" t="s">
        <v>439</v>
      </c>
      <c r="D18" s="108" t="s">
        <v>440</v>
      </c>
    </row>
    <row r="19" customFormat="false" ht="27.75" hidden="false" customHeight="true" outlineLevel="0" collapsed="false">
      <c r="C19" s="107" t="s">
        <v>441</v>
      </c>
      <c r="D19" s="108" t="s">
        <v>442</v>
      </c>
    </row>
    <row r="20" customFormat="false" ht="27.75" hidden="false" customHeight="true" outlineLevel="0" collapsed="false">
      <c r="C20" s="107" t="s">
        <v>443</v>
      </c>
      <c r="D20" s="108" t="s">
        <v>444</v>
      </c>
    </row>
    <row r="21" customFormat="false" ht="27.75" hidden="false" customHeight="true" outlineLevel="0" collapsed="false">
      <c r="C21" s="107" t="s">
        <v>445</v>
      </c>
      <c r="D21" s="108" t="s">
        <v>446</v>
      </c>
    </row>
    <row r="23" customFormat="false" ht="15" hidden="false" customHeight="false" outlineLevel="0" collapsed="false">
      <c r="B23" s="8" t="s">
        <v>447</v>
      </c>
      <c r="C23" s="9"/>
      <c r="D23" s="9"/>
    </row>
    <row r="24" customFormat="false" ht="27.75" hidden="false" customHeight="true" outlineLevel="0" collapsed="false">
      <c r="C24" s="107" t="s">
        <v>448</v>
      </c>
      <c r="D24" s="108" t="s">
        <v>449</v>
      </c>
    </row>
    <row r="25" customFormat="false" ht="15" hidden="false" customHeight="true" outlineLevel="0" collapsed="false">
      <c r="C25" s="107" t="s">
        <v>450</v>
      </c>
      <c r="D25" s="108" t="s">
        <v>451</v>
      </c>
    </row>
    <row r="26" customFormat="false" ht="27.75" hidden="false" customHeight="true" outlineLevel="0" collapsed="false">
      <c r="C26" s="107" t="s">
        <v>452</v>
      </c>
      <c r="D26" s="108" t="s">
        <v>453</v>
      </c>
    </row>
    <row r="28" customFormat="false" ht="15" hidden="false" customHeight="false" outlineLevel="0" collapsed="false">
      <c r="B28" s="8" t="s">
        <v>454</v>
      </c>
      <c r="C28" s="9"/>
      <c r="D28" s="9"/>
    </row>
    <row r="29" customFormat="false" ht="27.75" hidden="false" customHeight="true" outlineLevel="0" collapsed="false">
      <c r="C29" s="107" t="s">
        <v>455</v>
      </c>
      <c r="D29" s="108" t="s">
        <v>456</v>
      </c>
    </row>
    <row r="30" customFormat="false" ht="15" hidden="false" customHeight="true" outlineLevel="0" collapsed="false">
      <c r="C30" s="107" t="s">
        <v>457</v>
      </c>
      <c r="D30" s="108" t="s">
        <v>458</v>
      </c>
    </row>
    <row r="32" customFormat="false" ht="15" hidden="false" customHeight="false" outlineLevel="0" collapsed="false">
      <c r="B32" s="8" t="s">
        <v>459</v>
      </c>
      <c r="C32" s="9"/>
      <c r="D32" s="9"/>
    </row>
    <row r="33" customFormat="false" ht="27.75" hidden="false" customHeight="true" outlineLevel="0" collapsed="false">
      <c r="C33" s="107" t="s">
        <v>460</v>
      </c>
      <c r="D33" s="108" t="s">
        <v>461</v>
      </c>
    </row>
    <row r="34" customFormat="false" ht="27.75" hidden="false" customHeight="true" outlineLevel="0" collapsed="false">
      <c r="C34" s="107" t="s">
        <v>462</v>
      </c>
      <c r="D34" s="108" t="s">
        <v>463</v>
      </c>
    </row>
    <row r="36" customFormat="false" ht="15" hidden="false" customHeight="false" outlineLevel="0" collapsed="false">
      <c r="B36" s="8" t="s">
        <v>464</v>
      </c>
      <c r="C36" s="9"/>
      <c r="D36" s="9"/>
    </row>
    <row r="37" customFormat="false" ht="15" hidden="false" customHeight="true" outlineLevel="0" collapsed="false">
      <c r="C37" s="107" t="s">
        <v>465</v>
      </c>
      <c r="D37" s="108" t="s">
        <v>466</v>
      </c>
    </row>
    <row r="38" customFormat="false" ht="15" hidden="false" customHeight="true" outlineLevel="0" collapsed="false">
      <c r="C38" s="107" t="s">
        <v>467</v>
      </c>
      <c r="D38" s="108" t="s">
        <v>468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2026-10-07T14:18:51Z</dcterms:created>
  <dc:creator>openpyxl</dc:creator>
  <dc:description/>
  <dc:language>en-US</dc:language>
  <cp:lastModifiedBy/>
  <dcterms:modified xsi:type="dcterms:W3CDTF">2026-10-07T14:18:54Z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