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Forecast" sheetId="3" state="visible" r:id="rId3"/>
    <sheet xmlns:r="http://schemas.openxmlformats.org/officeDocument/2006/relationships" name="Scenarios" sheetId="4" state="visible" r:id="rId4"/>
    <sheet xmlns:r="http://schemas.openxmlformats.org/officeDocument/2006/relationships" name="Pricing check" sheetId="5" state="visible" r:id="rId5"/>
    <sheet xmlns:r="http://schemas.openxmlformats.org/officeDocument/2006/relationships" name="Track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"/>
    <numFmt numFmtId="165" formatCode="0.0%"/>
    <numFmt numFmtId="166" formatCode="0.00x"/>
    <numFmt numFmtId="167" formatCode="#,##0;[Red]-#,##0"/>
    <numFmt numFmtId="168" formatCode="#,##0.00;[Red]-#,##0.00"/>
    <numFmt numFmtId="169" formatCode="$#,##0,&quot;k&quot;"/>
    <numFmt numFmtId="170" formatCode="$#,##0.0,,&quot;m&quot;"/>
  </numFmts>
  <fonts count="13">
    <font>
      <name val="Aptos"/>
      <color rgb="002B2523"/>
      <sz val="10"/>
    </font>
    <font>
      <name val="Aptos Display"/>
      <b val="1"/>
      <color rgb="001A1615"/>
      <sz val="18"/>
    </font>
    <font>
      <name val="Aptos"/>
      <color rgb="007A706B"/>
      <sz val="9"/>
    </font>
    <font>
      <name val="Aptos"/>
      <b val="1"/>
      <color rgb="00FFFFFF"/>
      <sz val="10"/>
    </font>
    <font>
      <name val="Aptos"/>
      <color rgb="002B2523"/>
      <sz val="10"/>
    </font>
    <font>
      <name val="Aptos"/>
      <b val="1"/>
      <color rgb="006E1F24"/>
      <sz val="9"/>
    </font>
    <font>
      <name val="Aptos"/>
      <b val="1"/>
      <color rgb="002B2523"/>
      <sz val="10"/>
    </font>
    <font>
      <name val="Aptos"/>
      <b val="1"/>
      <color rgb="006E1F24"/>
      <sz val="10"/>
    </font>
    <font>
      <name val="Aptos"/>
      <i val="1"/>
      <color rgb="007A706B"/>
      <sz val="9"/>
    </font>
    <font>
      <name val="Aptos"/>
      <b val="1"/>
      <color rgb="007A706B"/>
      <sz val="9"/>
    </font>
    <font>
      <name val="Aptos"/>
      <b val="1"/>
      <color rgb="006E1F24"/>
      <sz val="11"/>
    </font>
    <font>
      <name val="Aptos"/>
      <b val="1"/>
      <color rgb="007A706B"/>
      <sz val="8.5"/>
    </font>
    <font>
      <name val="Aptos Display"/>
      <b val="1"/>
      <color rgb="006E1F24"/>
      <sz val="20"/>
    </font>
  </fonts>
  <fills count="6">
    <fill>
      <patternFill/>
    </fill>
    <fill>
      <patternFill patternType="gray125"/>
    </fill>
    <fill>
      <patternFill patternType="solid">
        <fgColor rgb="006E1F24"/>
      </patternFill>
    </fill>
    <fill>
      <patternFill patternType="solid">
        <fgColor rgb="00FFF4D6"/>
      </patternFill>
    </fill>
    <fill>
      <patternFill patternType="solid">
        <fgColor rgb="00FBF5F5"/>
      </patternFill>
    </fill>
    <fill>
      <patternFill patternType="solid">
        <fgColor rgb="001A1615"/>
      </patternFill>
    </fill>
  </fills>
  <borders count="4">
    <border>
      <left/>
      <right/>
      <top/>
      <bottom/>
      <diagonal/>
    </border>
    <border>
      <bottom style="thin">
        <color rgb="00FFFFFF"/>
      </bottom>
    </border>
    <border>
      <bottom style="thin">
        <color rgb="00E7E1DA"/>
      </bottom>
    </border>
    <border>
      <left style="medium">
        <color rgb="00FFFFFF"/>
      </left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10" fillId="3" borderId="0" pivotButton="0" quotePrefix="0" xfId="0"/>
    <xf numFmtId="0" fontId="11" fillId="4" borderId="3" applyAlignment="1" pivotButton="0" quotePrefix="0" xfId="0">
      <alignment horizontal="left" vertical="center" indent="1"/>
    </xf>
    <xf numFmtId="169" fontId="12" fillId="4" borderId="3" applyAlignment="1" pivotButton="0" quotePrefix="0" xfId="0">
      <alignment horizontal="left" vertical="center" indent="1"/>
    </xf>
    <xf numFmtId="9" fontId="12" fillId="4" borderId="3" applyAlignment="1" pivotButton="0" quotePrefix="0" xfId="0">
      <alignment horizontal="left" vertical="center" indent="1"/>
    </xf>
    <xf numFmtId="1" fontId="12" fillId="4" borderId="3" applyAlignment="1" pivotButton="0" quotePrefix="0" xfId="0">
      <alignment horizontal="left" vertical="center" indent="1"/>
    </xf>
    <xf numFmtId="170" fontId="12" fillId="4" borderId="3" applyAlignment="1" pivotButton="0" quotePrefix="0" xfId="0">
      <alignment horizontal="left" vertical="center" indent="1"/>
    </xf>
    <xf numFmtId="0" fontId="5" fillId="0" borderId="0" pivotButton="0" quotePrefix="0" xfId="0"/>
    <xf numFmtId="0" fontId="3" fillId="2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right" vertical="center"/>
    </xf>
    <xf numFmtId="0" fontId="4" fillId="0" borderId="0" pivotButton="0" quotePrefix="0" xfId="0"/>
    <xf numFmtId="3" fontId="0" fillId="3" borderId="1" pivotButton="0" quotePrefix="0" xfId="0"/>
    <xf numFmtId="164" fontId="0" fillId="3" borderId="1" pivotButton="0" quotePrefix="0" xfId="0"/>
    <xf numFmtId="4" fontId="0" fillId="3" borderId="1" pivotButton="0" quotePrefix="0" xfId="0"/>
    <xf numFmtId="9" fontId="0" fillId="3" borderId="0" pivotButton="0" quotePrefix="0" xfId="0"/>
    <xf numFmtId="3" fontId="0" fillId="3" borderId="0" pivotButton="0" quotePrefix="0" xfId="0"/>
    <xf numFmtId="1" fontId="0" fillId="3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horizontal="right"/>
    </xf>
    <xf numFmtId="166" fontId="6" fillId="0" borderId="0" pivotButton="0" quotePrefix="0" xfId="0"/>
    <xf numFmtId="0" fontId="4" fillId="0" borderId="2" pivotButton="0" quotePrefix="0" xfId="0"/>
    <xf numFmtId="167" fontId="0" fillId="0" borderId="2" pivotButton="0" quotePrefix="0" xfId="0"/>
    <xf numFmtId="164" fontId="0" fillId="0" borderId="2" pivotButton="0" quotePrefix="0" xfId="0"/>
    <xf numFmtId="0" fontId="6" fillId="4" borderId="2" pivotButton="0" quotePrefix="0" xfId="0"/>
    <xf numFmtId="167" fontId="0" fillId="4" borderId="2" pivotButton="0" quotePrefix="0" xfId="0"/>
    <xf numFmtId="1" fontId="0" fillId="0" borderId="2" pivotButton="0" quotePrefix="0" xfId="0"/>
    <xf numFmtId="165" fontId="0" fillId="0" borderId="2" pivotButton="0" quotePrefix="0" xfId="0"/>
    <xf numFmtId="166" fontId="0" fillId="3" borderId="0" pivotButton="0" quotePrefix="0" xfId="0"/>
    <xf numFmtId="3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3" borderId="0" pivotButton="0" quotePrefix="0" xfId="0"/>
    <xf numFmtId="4" fontId="0" fillId="3" borderId="0" pivotButton="0" quotePrefix="0" xfId="0"/>
    <xf numFmtId="4" fontId="6" fillId="0" borderId="0" pivotButton="0" quotePrefix="0" xfId="0"/>
    <xf numFmtId="168" fontId="0" fillId="0" borderId="2" pivotButton="0" quotePrefix="0" xfId="0"/>
    <xf numFmtId="0" fontId="8" fillId="0" borderId="0" pivotButton="0" quotePrefix="0" xfId="0"/>
    <xf numFmtId="0" fontId="3" fillId="5" borderId="0" applyAlignment="1" pivotButton="0" quotePrefix="0" xfId="0">
      <alignment horizontal="left" vertical="center" indent="1"/>
    </xf>
    <xf numFmtId="0" fontId="3" fillId="5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6E1F24"/>
      </font>
      <fill>
        <patternFill patternType="solid">
          <fgColor rgb="00F6EBEB"/>
        </patternFill>
      </fill>
    </dxf>
    <dxf>
      <font>
        <b val="1"/>
        <color rgb="001F3A2B"/>
      </font>
      <fill>
        <patternFill patternType="solid">
          <fgColor rgb="00E9F0EB"/>
        </patternFill>
      </fill>
    </dxf>
    <dxf>
      <font>
        <b val="1"/>
        <color rgb="007A5A1E"/>
      </font>
      <fill>
        <patternFill patternType="solid">
          <fgColor rgb="00F7F1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A8434D"/>
            </a:solidFill>
            <a:ln xmlns:a="http://schemas.openxmlformats.org/drawingml/2006/main">
              <a:prstDash val="solid"/>
            </a:ln>
          </spPr>
          <cat>
            <numRef>
              <f>'Forecast'!$C$6:$L$6</f>
            </numRef>
          </cat>
          <val>
            <numRef>
              <f>'Forecast'!$C$10:$L$10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spPr>
            <a:ln xmlns:a="http://schemas.openxmlformats.org/drawingml/2006/main" w="28000">
              <a:solidFill>
                <a:srgbClr val="4C9A7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'Forecast'!$C$27:$L$27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10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E1F24"/>
    <outlinePr summaryBelow="1" summaryRight="1"/>
    <pageSetUpPr/>
  </sheetPr>
  <dimension ref="B2:H28"/>
  <sheetViews>
    <sheetView showGridLines="0" showRowColHeader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 ht="30" customHeight="1">
      <c r="B2" s="1" t="inlineStr">
        <is>
          <t>BAMBUP · bamboo pop-up tent · 10-year plan</t>
        </is>
      </c>
    </row>
    <row r="3">
      <c r="B3" s="2" t="inlineStr">
        <is>
          <t>Demo workbook. Figures are disguised planning outputs, not company results. Change the scenario in C5.</t>
        </is>
      </c>
    </row>
    <row r="5">
      <c r="B5" s="3" t="inlineStr">
        <is>
          <t>Scenario</t>
        </is>
      </c>
      <c r="C5" s="4" t="inlineStr">
        <is>
          <t>Base</t>
        </is>
      </c>
    </row>
    <row r="7">
      <c r="C7" s="5" t="inlineStr">
        <is>
          <t>NPV @ 12%</t>
        </is>
      </c>
      <c r="D7" s="5" t="inlineStr">
        <is>
          <t>IRR</t>
        </is>
      </c>
      <c r="E7" s="5" t="inlineStr">
        <is>
          <t>Payback year</t>
        </is>
      </c>
      <c r="F7" s="5" t="inlineStr">
        <is>
          <t>Expansion year</t>
        </is>
      </c>
      <c r="G7" s="5" t="inlineStr">
        <is>
          <t>10-yr revenue</t>
        </is>
      </c>
      <c r="H7" s="5" t="inlineStr">
        <is>
          <t>10-yr net cash</t>
        </is>
      </c>
    </row>
    <row r="8" ht="34" customHeight="1">
      <c r="C8" s="6">
        <f>Forecast!C26+NPV(Inputs!C16,Forecast!D26:L26)</f>
        <v/>
      </c>
      <c r="D8" s="7">
        <f>IFERROR(IRR(Forecast!C26:L26),"n/a")</f>
        <v/>
      </c>
      <c r="E8" s="8">
        <f>IFERROR(INDEX(Forecast!C6:L6,MATCH(TRUE,INDEX(Forecast!C27:L27&gt;=0,0),0)),"after 2035")</f>
        <v/>
      </c>
      <c r="F8" s="8">
        <f>IFERROR(INDEX(Forecast!C6:L6,MATCH(1,Forecast!C14:L14,0)),"not reached")</f>
        <v/>
      </c>
      <c r="G8" s="9">
        <f>SUM(Forecast!C10:L10)</f>
        <v/>
      </c>
      <c r="H8" s="6">
        <f>Forecast!L27</f>
        <v/>
      </c>
    </row>
    <row r="10">
      <c r="B10" s="10" t="inlineStr">
        <is>
          <t>REVENUE AND CUMULATIVE CASH, ACTIVE SCENARIO</t>
        </is>
      </c>
    </row>
    <row r="28">
      <c r="B28" s="2" t="inlineStr">
        <is>
          <t>Wine bars = revenue · green line = cumulative net cash. Sheets: Inputs → Forecast → Scenarios · Pricing check · Tracker.</t>
        </is>
      </c>
    </row>
  </sheetData>
  <dataValidations count="1">
    <dataValidation sqref="C5" showDropDown="0" showInputMessage="0" showErrorMessage="0" allowBlank="0" type="list">
      <formula1>=Scenarios!$B$6:$B$8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9858B"/>
    <outlinePr summaryBelow="1" summaryRight="1"/>
    <pageSetUpPr/>
  </sheetPr>
  <dimension ref="B2:L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2" ht="30" customHeight="1">
      <c r="B2" s="1" t="inlineStr">
        <is>
          <t>Inputs</t>
        </is>
      </c>
    </row>
    <row r="3">
      <c r="B3" s="2" t="inlineStr">
        <is>
          <t>Yellow cells are editable. Demo values: disguised from the working model (not company figures).</t>
        </is>
      </c>
    </row>
    <row r="5" ht="24" customHeight="1">
      <c r="B5" s="11" t="inlineStr">
        <is>
          <t>Yearly assumptions</t>
        </is>
      </c>
      <c r="C5" s="12" t="n">
        <v>2026</v>
      </c>
      <c r="D5" s="12" t="n">
        <v>2027</v>
      </c>
      <c r="E5" s="12" t="n">
        <v>2028</v>
      </c>
      <c r="F5" s="12" t="n">
        <v>2029</v>
      </c>
      <c r="G5" s="12" t="n">
        <v>2030</v>
      </c>
      <c r="H5" s="12" t="n">
        <v>2031</v>
      </c>
      <c r="I5" s="12" t="n">
        <v>2032</v>
      </c>
      <c r="J5" s="12" t="n">
        <v>2033</v>
      </c>
      <c r="K5" s="12" t="n">
        <v>2034</v>
      </c>
      <c r="L5" s="12" t="n">
        <v>2035</v>
      </c>
    </row>
    <row r="6">
      <c r="B6" s="13" t="inlineStr">
        <is>
          <t>Units sold</t>
        </is>
      </c>
      <c r="C6" s="14" t="n">
        <v>350</v>
      </c>
      <c r="D6" s="14" t="n">
        <v>1700</v>
      </c>
      <c r="E6" s="14" t="n">
        <v>2550</v>
      </c>
      <c r="F6" s="14" t="n">
        <v>3400</v>
      </c>
      <c r="G6" s="14" t="n">
        <v>4250</v>
      </c>
      <c r="H6" s="14" t="n">
        <v>4950</v>
      </c>
      <c r="I6" s="14" t="n">
        <v>5500</v>
      </c>
      <c r="J6" s="14" t="n">
        <v>6100</v>
      </c>
      <c r="K6" s="14" t="n">
        <v>6800</v>
      </c>
      <c r="L6" s="14" t="n">
        <v>7500</v>
      </c>
    </row>
    <row r="7">
      <c r="B7" s="13" t="inlineStr">
        <is>
          <t>Selling price / unit ($)</t>
        </is>
      </c>
      <c r="C7" s="14" t="n">
        <v>164</v>
      </c>
      <c r="D7" s="14" t="n">
        <v>164</v>
      </c>
      <c r="E7" s="14" t="n">
        <v>166</v>
      </c>
      <c r="F7" s="14" t="n">
        <v>170</v>
      </c>
      <c r="G7" s="14" t="n">
        <v>175</v>
      </c>
      <c r="H7" s="14" t="n">
        <v>180</v>
      </c>
      <c r="I7" s="14" t="n">
        <v>183</v>
      </c>
      <c r="J7" s="14" t="n">
        <v>187</v>
      </c>
      <c r="K7" s="14" t="n">
        <v>191</v>
      </c>
      <c r="L7" s="14" t="n">
        <v>196</v>
      </c>
    </row>
    <row r="8">
      <c r="B8" s="13" t="inlineStr">
        <is>
          <t>Frame + canopy + packaging ($/unit)</t>
        </is>
      </c>
      <c r="C8" s="15" t="n">
        <v>148.4</v>
      </c>
      <c r="D8" s="15" t="n">
        <v>142</v>
      </c>
      <c r="E8" s="15" t="n">
        <v>135.7</v>
      </c>
      <c r="F8" s="15" t="n">
        <v>129.3</v>
      </c>
      <c r="G8" s="15" t="n">
        <v>123</v>
      </c>
      <c r="H8" s="15" t="n">
        <v>116.6</v>
      </c>
      <c r="I8" s="15" t="n">
        <v>121.9</v>
      </c>
      <c r="J8" s="15" t="n">
        <v>119.8</v>
      </c>
      <c r="K8" s="15" t="n">
        <v>117.7</v>
      </c>
      <c r="L8" s="15" t="n">
        <v>114.5</v>
      </c>
    </row>
    <row r="9">
      <c r="B9" s="13" t="inlineStr">
        <is>
          <t>Domestic freight ($/unit)</t>
        </is>
      </c>
      <c r="C9" s="16" t="n">
        <v>2.5</v>
      </c>
      <c r="D9" s="16" t="n">
        <v>2.3</v>
      </c>
      <c r="E9" s="16" t="n">
        <v>2.1</v>
      </c>
      <c r="F9" s="16" t="n">
        <v>2</v>
      </c>
      <c r="G9" s="16" t="n">
        <v>1.9</v>
      </c>
      <c r="H9" s="16" t="n">
        <v>1.8</v>
      </c>
      <c r="I9" s="16" t="n">
        <v>1.84</v>
      </c>
      <c r="J9" s="16" t="n">
        <v>1.88</v>
      </c>
      <c r="K9" s="16" t="n">
        <v>1.92</v>
      </c>
      <c r="L9" s="16" t="n">
        <v>1.94</v>
      </c>
    </row>
    <row r="10">
      <c r="B10" s="13" t="inlineStr">
        <is>
          <t>International freight ($/unit)</t>
        </is>
      </c>
      <c r="C10" s="16" t="n">
        <v>8</v>
      </c>
      <c r="D10" s="16" t="n">
        <v>7.5</v>
      </c>
      <c r="E10" s="16" t="n">
        <v>7</v>
      </c>
      <c r="F10" s="16" t="n">
        <v>6.7</v>
      </c>
      <c r="G10" s="16" t="n">
        <v>6.5</v>
      </c>
      <c r="H10" s="16" t="n">
        <v>6.3</v>
      </c>
      <c r="I10" s="16" t="n">
        <v>6.43</v>
      </c>
      <c r="J10" s="16" t="n">
        <v>6.56</v>
      </c>
      <c r="K10" s="16" t="n">
        <v>6.69</v>
      </c>
      <c r="L10" s="16" t="n">
        <v>6.8</v>
      </c>
    </row>
    <row r="11">
      <c r="B11" s="13" t="inlineStr">
        <is>
          <t>Inspection / QC ($/unit)</t>
        </is>
      </c>
      <c r="C11" s="16" t="n">
        <v>1</v>
      </c>
      <c r="D11" s="16" t="n">
        <v>0.9</v>
      </c>
      <c r="E11" s="16" t="n">
        <v>0.8</v>
      </c>
      <c r="F11" s="16" t="n">
        <v>0.8</v>
      </c>
      <c r="G11" s="16" t="n">
        <v>0.7</v>
      </c>
      <c r="H11" s="16" t="n">
        <v>0.7</v>
      </c>
      <c r="I11" s="16" t="n">
        <v>0.72</v>
      </c>
      <c r="J11" s="16" t="n">
        <v>0.73</v>
      </c>
      <c r="K11" s="16" t="n">
        <v>0.74</v>
      </c>
      <c r="L11" s="16" t="n">
        <v>0.75</v>
      </c>
    </row>
    <row r="12">
      <c r="B12" s="13" t="inlineStr">
        <is>
          <t>Marketing ($)</t>
        </is>
      </c>
      <c r="C12" s="14" t="n">
        <v>12900</v>
      </c>
      <c r="D12" s="14" t="n">
        <v>8800</v>
      </c>
      <c r="E12" s="14" t="n">
        <v>8800</v>
      </c>
      <c r="F12" s="14" t="n">
        <v>10300</v>
      </c>
      <c r="G12" s="14" t="n">
        <v>12700</v>
      </c>
      <c r="H12" s="14" t="n">
        <v>15000</v>
      </c>
      <c r="I12" s="14" t="n">
        <v>15300</v>
      </c>
      <c r="J12" s="14" t="n">
        <v>15700</v>
      </c>
      <c r="K12" s="14" t="n">
        <v>16500</v>
      </c>
      <c r="L12" s="14" t="n">
        <v>17300</v>
      </c>
    </row>
    <row r="15">
      <c r="B15" s="10" t="inlineStr">
        <is>
          <t>FINANCIAL, EXPANSION AND ROYALTY ASSUMPTIONS</t>
        </is>
      </c>
    </row>
    <row r="16">
      <c r="B16" s="13" t="inlineStr">
        <is>
          <t>Discount rate (NPV)</t>
        </is>
      </c>
      <c r="C16" s="17" t="n">
        <v>0.12</v>
      </c>
    </row>
    <row r="17">
      <c r="B17" s="13" t="inlineStr">
        <is>
          <t>Tax rate</t>
        </is>
      </c>
      <c r="C17" s="17" t="n">
        <v>0.2</v>
      </c>
    </row>
    <row r="18">
      <c r="B18" s="13" t="inlineStr">
        <is>
          <t>Initial capex 2026 ($)</t>
        </is>
      </c>
      <c r="C18" s="18" t="n">
        <v>27500</v>
      </c>
    </row>
    <row r="19">
      <c r="B19" s="13" t="inlineStr">
        <is>
          <t>Working capital (% of revenue)</t>
        </is>
      </c>
      <c r="C19" s="17" t="n">
        <v>0.02</v>
      </c>
    </row>
    <row r="20">
      <c r="B20" s="13" t="inlineStr">
        <is>
          <t>Capacity threshold (units / month)</t>
        </is>
      </c>
      <c r="C20" s="18" t="n">
        <v>500</v>
      </c>
    </row>
    <row r="21">
      <c r="B21" s="13" t="inlineStr">
        <is>
          <t>Expansion opex ($ / month)</t>
        </is>
      </c>
      <c r="C21" s="18" t="n">
        <v>7700</v>
      </c>
    </row>
    <row r="22">
      <c r="B22" s="13" t="inlineStr">
        <is>
          <t>Expansion months in trigger year</t>
        </is>
      </c>
      <c r="C22" s="19" t="n">
        <v>6</v>
      </c>
    </row>
    <row r="23">
      <c r="B23" s="13" t="inlineStr">
        <is>
          <t>Partner A customer share</t>
        </is>
      </c>
      <c r="C23" s="17" t="n">
        <v>0.5</v>
      </c>
    </row>
    <row r="24">
      <c r="B24" s="13" t="inlineStr">
        <is>
          <t>Royalty rate, partner A</t>
        </is>
      </c>
      <c r="C24" s="17" t="n">
        <v>0.04</v>
      </c>
    </row>
    <row r="25">
      <c r="B25" s="13" t="inlineStr">
        <is>
          <t>Royalty rate, partner B</t>
        </is>
      </c>
      <c r="C25" s="17" t="n">
        <v>0.08</v>
      </c>
    </row>
    <row r="27">
      <c r="B27" s="3" t="inlineStr">
        <is>
          <t>Effective royalty rate</t>
        </is>
      </c>
      <c r="C27" s="20">
        <f>C23*C24+(1-C23)*C25</f>
        <v/>
      </c>
      <c r="D27" s="2" t="inlineStr">
        <is>
          <t>Royalty base = adjusted gross profit (after expansion opex), only when positive.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6E1F24"/>
    <outlinePr summaryBelow="1" summaryRight="1"/>
    <pageSetUpPr/>
  </sheetPr>
  <dimension ref="B2:L2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2" ht="30" customHeight="1">
      <c r="B2" s="1" t="inlineStr">
        <is>
          <t>10-year forecast · 2026–2035</t>
        </is>
      </c>
    </row>
    <row r="3">
      <c r="B3" s="2" t="inlineStr">
        <is>
          <t>All cells are formulas. Active scenario factors come from the Dashboard selector.</t>
        </is>
      </c>
    </row>
    <row r="4">
      <c r="B4" t="inlineStr">
        <is>
          <t>Active scenario</t>
        </is>
      </c>
      <c r="C4" s="21">
        <f>Dashboard!$C$5</f>
        <v/>
      </c>
      <c r="E4" s="22" t="inlineStr">
        <is>
          <t>Volume ×</t>
        </is>
      </c>
      <c r="F4" s="23">
        <f>INDEX(Scenarios!$C$6:$C$8,MATCH($C$4,Scenarios!$B$6:$B$8,0))</f>
        <v/>
      </c>
      <c r="G4" s="22" t="inlineStr">
        <is>
          <t>Price ×</t>
        </is>
      </c>
      <c r="H4" s="23">
        <f>INDEX(Scenarios!$D$6:$D$8,MATCH($C$4,Scenarios!$B$6:$B$8,0))</f>
        <v/>
      </c>
      <c r="I4" s="22" t="inlineStr">
        <is>
          <t>Cost ×</t>
        </is>
      </c>
      <c r="J4" s="23">
        <f>INDEX(Scenarios!$E$6:$E$8,MATCH($C$4,Scenarios!$B$6:$B$8,0))</f>
        <v/>
      </c>
    </row>
    <row r="6" ht="24" customHeight="1">
      <c r="B6" s="11" t="inlineStr">
        <is>
          <t>Line</t>
        </is>
      </c>
      <c r="C6" s="12" t="n">
        <v>2026</v>
      </c>
      <c r="D6" s="12" t="n">
        <v>2027</v>
      </c>
      <c r="E6" s="12" t="n">
        <v>2028</v>
      </c>
      <c r="F6" s="12" t="n">
        <v>2029</v>
      </c>
      <c r="G6" s="12" t="n">
        <v>2030</v>
      </c>
      <c r="H6" s="12" t="n">
        <v>2031</v>
      </c>
      <c r="I6" s="12" t="n">
        <v>2032</v>
      </c>
      <c r="J6" s="12" t="n">
        <v>2033</v>
      </c>
      <c r="K6" s="12" t="n">
        <v>2034</v>
      </c>
      <c r="L6" s="12" t="n">
        <v>2035</v>
      </c>
    </row>
    <row r="7">
      <c r="B7" s="24" t="inlineStr">
        <is>
          <t>Units sold</t>
        </is>
      </c>
      <c r="C7" s="25">
        <f>Inputs!C6*$F$4</f>
        <v/>
      </c>
      <c r="D7" s="25">
        <f>Inputs!D6*$F$4</f>
        <v/>
      </c>
      <c r="E7" s="25">
        <f>Inputs!E6*$F$4</f>
        <v/>
      </c>
      <c r="F7" s="25">
        <f>Inputs!F6*$F$4</f>
        <v/>
      </c>
      <c r="G7" s="25">
        <f>Inputs!G6*$F$4</f>
        <v/>
      </c>
      <c r="H7" s="25">
        <f>Inputs!H6*$F$4</f>
        <v/>
      </c>
      <c r="I7" s="25">
        <f>Inputs!I6*$F$4</f>
        <v/>
      </c>
      <c r="J7" s="25">
        <f>Inputs!J6*$F$4</f>
        <v/>
      </c>
      <c r="K7" s="25">
        <f>Inputs!K6*$F$4</f>
        <v/>
      </c>
      <c r="L7" s="25">
        <f>Inputs!L6*$F$4</f>
        <v/>
      </c>
    </row>
    <row r="8">
      <c r="B8" s="24" t="inlineStr">
        <is>
          <t>Average monthly units</t>
        </is>
      </c>
      <c r="C8" s="26">
        <f>C7/12</f>
        <v/>
      </c>
      <c r="D8" s="26">
        <f>D7/12</f>
        <v/>
      </c>
      <c r="E8" s="26">
        <f>E7/12</f>
        <v/>
      </c>
      <c r="F8" s="26">
        <f>F7/12</f>
        <v/>
      </c>
      <c r="G8" s="26">
        <f>G7/12</f>
        <v/>
      </c>
      <c r="H8" s="26">
        <f>H7/12</f>
        <v/>
      </c>
      <c r="I8" s="26">
        <f>I7/12</f>
        <v/>
      </c>
      <c r="J8" s="26">
        <f>J7/12</f>
        <v/>
      </c>
      <c r="K8" s="26">
        <f>K7/12</f>
        <v/>
      </c>
      <c r="L8" s="26">
        <f>L7/12</f>
        <v/>
      </c>
    </row>
    <row r="9">
      <c r="B9" s="24" t="inlineStr">
        <is>
          <t>Selling price / unit</t>
        </is>
      </c>
      <c r="C9" s="26">
        <f>Inputs!C7*$H$4</f>
        <v/>
      </c>
      <c r="D9" s="26">
        <f>Inputs!D7*$H$4</f>
        <v/>
      </c>
      <c r="E9" s="26">
        <f>Inputs!E7*$H$4</f>
        <v/>
      </c>
      <c r="F9" s="26">
        <f>Inputs!F7*$H$4</f>
        <v/>
      </c>
      <c r="G9" s="26">
        <f>Inputs!G7*$H$4</f>
        <v/>
      </c>
      <c r="H9" s="26">
        <f>Inputs!H7*$H$4</f>
        <v/>
      </c>
      <c r="I9" s="26">
        <f>Inputs!I7*$H$4</f>
        <v/>
      </c>
      <c r="J9" s="26">
        <f>Inputs!J7*$H$4</f>
        <v/>
      </c>
      <c r="K9" s="26">
        <f>Inputs!K7*$H$4</f>
        <v/>
      </c>
      <c r="L9" s="26">
        <f>Inputs!L7*$H$4</f>
        <v/>
      </c>
    </row>
    <row r="10">
      <c r="B10" s="27" t="inlineStr">
        <is>
          <t>Revenue</t>
        </is>
      </c>
      <c r="C10" s="28">
        <f>C7*C9</f>
        <v/>
      </c>
      <c r="D10" s="28">
        <f>D7*D9</f>
        <v/>
      </c>
      <c r="E10" s="28">
        <f>E7*E9</f>
        <v/>
      </c>
      <c r="F10" s="28">
        <f>F7*F9</f>
        <v/>
      </c>
      <c r="G10" s="28">
        <f>G7*G9</f>
        <v/>
      </c>
      <c r="H10" s="28">
        <f>H7*H9</f>
        <v/>
      </c>
      <c r="I10" s="28">
        <f>I7*I9</f>
        <v/>
      </c>
      <c r="J10" s="28">
        <f>J7*J9</f>
        <v/>
      </c>
      <c r="K10" s="28">
        <f>K7*K9</f>
        <v/>
      </c>
      <c r="L10" s="28">
        <f>L7*L9</f>
        <v/>
      </c>
    </row>
    <row r="11">
      <c r="B11" s="24" t="inlineStr">
        <is>
          <t>Variable cost / unit</t>
        </is>
      </c>
      <c r="C11" s="26">
        <f>SUM(Inputs!C8:C11)*$J$4</f>
        <v/>
      </c>
      <c r="D11" s="26">
        <f>SUM(Inputs!D8:D11)*$J$4</f>
        <v/>
      </c>
      <c r="E11" s="26">
        <f>SUM(Inputs!E8:E11)*$J$4</f>
        <v/>
      </c>
      <c r="F11" s="26">
        <f>SUM(Inputs!F8:F11)*$J$4</f>
        <v/>
      </c>
      <c r="G11" s="26">
        <f>SUM(Inputs!G8:G11)*$J$4</f>
        <v/>
      </c>
      <c r="H11" s="26">
        <f>SUM(Inputs!H8:H11)*$J$4</f>
        <v/>
      </c>
      <c r="I11" s="26">
        <f>SUM(Inputs!I8:I11)*$J$4</f>
        <v/>
      </c>
      <c r="J11" s="26">
        <f>SUM(Inputs!J8:J11)*$J$4</f>
        <v/>
      </c>
      <c r="K11" s="26">
        <f>SUM(Inputs!K8:K11)*$J$4</f>
        <v/>
      </c>
      <c r="L11" s="26">
        <f>SUM(Inputs!L8:L11)*$J$4</f>
        <v/>
      </c>
    </row>
    <row r="12">
      <c r="B12" s="24" t="inlineStr">
        <is>
          <t>Variable cost</t>
        </is>
      </c>
      <c r="C12" s="25">
        <f>C7*C11</f>
        <v/>
      </c>
      <c r="D12" s="25">
        <f>D7*D11</f>
        <v/>
      </c>
      <c r="E12" s="25">
        <f>E7*E11</f>
        <v/>
      </c>
      <c r="F12" s="25">
        <f>F7*F11</f>
        <v/>
      </c>
      <c r="G12" s="25">
        <f>G7*G11</f>
        <v/>
      </c>
      <c r="H12" s="25">
        <f>H7*H11</f>
        <v/>
      </c>
      <c r="I12" s="25">
        <f>I7*I11</f>
        <v/>
      </c>
      <c r="J12" s="25">
        <f>J7*J11</f>
        <v/>
      </c>
      <c r="K12" s="25">
        <f>K7*K11</f>
        <v/>
      </c>
      <c r="L12" s="25">
        <f>L7*L11</f>
        <v/>
      </c>
    </row>
    <row r="13">
      <c r="B13" s="24" t="inlineStr">
        <is>
          <t>Gross profit</t>
        </is>
      </c>
      <c r="C13" s="25">
        <f>C10-C12</f>
        <v/>
      </c>
      <c r="D13" s="25">
        <f>D10-D12</f>
        <v/>
      </c>
      <c r="E13" s="25">
        <f>E10-E12</f>
        <v/>
      </c>
      <c r="F13" s="25">
        <f>F10-F12</f>
        <v/>
      </c>
      <c r="G13" s="25">
        <f>G10-G12</f>
        <v/>
      </c>
      <c r="H13" s="25">
        <f>H10-H12</f>
        <v/>
      </c>
      <c r="I13" s="25">
        <f>I10-I12</f>
        <v/>
      </c>
      <c r="J13" s="25">
        <f>J10-J12</f>
        <v/>
      </c>
      <c r="K13" s="25">
        <f>K10-K12</f>
        <v/>
      </c>
      <c r="L13" s="25">
        <f>L10-L12</f>
        <v/>
      </c>
    </row>
    <row r="14">
      <c r="B14" s="24" t="inlineStr">
        <is>
          <t>Expansion trigger (1 = active)</t>
        </is>
      </c>
      <c r="C14" s="29">
        <f>IF(MAX($C$8:C8)&gt;=Inputs!$C$20,1,0)</f>
        <v/>
      </c>
      <c r="D14" s="29">
        <f>IF(MAX($C$8:D8)&gt;=Inputs!$C$20,1,0)</f>
        <v/>
      </c>
      <c r="E14" s="29">
        <f>IF(MAX($C$8:E8)&gt;=Inputs!$C$20,1,0)</f>
        <v/>
      </c>
      <c r="F14" s="29">
        <f>IF(MAX($C$8:F8)&gt;=Inputs!$C$20,1,0)</f>
        <v/>
      </c>
      <c r="G14" s="29">
        <f>IF(MAX($C$8:G8)&gt;=Inputs!$C$20,1,0)</f>
        <v/>
      </c>
      <c r="H14" s="29">
        <f>IF(MAX($C$8:H8)&gt;=Inputs!$C$20,1,0)</f>
        <v/>
      </c>
      <c r="I14" s="29">
        <f>IF(MAX($C$8:I8)&gt;=Inputs!$C$20,1,0)</f>
        <v/>
      </c>
      <c r="J14" s="29">
        <f>IF(MAX($C$8:J8)&gt;=Inputs!$C$20,1,0)</f>
        <v/>
      </c>
      <c r="K14" s="29">
        <f>IF(MAX($C$8:K8)&gt;=Inputs!$C$20,1,0)</f>
        <v/>
      </c>
      <c r="L14" s="29">
        <f>IF(MAX($C$8:L8)&gt;=Inputs!$C$20,1,0)</f>
        <v/>
      </c>
    </row>
    <row r="15">
      <c r="B15" s="24" t="inlineStr">
        <is>
          <t>Expansion opex</t>
        </is>
      </c>
      <c r="C15" s="25">
        <f>IF(C14=0,0,Inputs!$C$21*IF(SUM($C$14:C14)=1,Inputs!$C$22,12))</f>
        <v/>
      </c>
      <c r="D15" s="25">
        <f>IF(D14=0,0,Inputs!$C$21*IF(SUM($C$14:D14)=1,Inputs!$C$22,12))</f>
        <v/>
      </c>
      <c r="E15" s="25">
        <f>IF(E14=0,0,Inputs!$C$21*IF(SUM($C$14:E14)=1,Inputs!$C$22,12))</f>
        <v/>
      </c>
      <c r="F15" s="25">
        <f>IF(F14=0,0,Inputs!$C$21*IF(SUM($C$14:F14)=1,Inputs!$C$22,12))</f>
        <v/>
      </c>
      <c r="G15" s="25">
        <f>IF(G14=0,0,Inputs!$C$21*IF(SUM($C$14:G14)=1,Inputs!$C$22,12))</f>
        <v/>
      </c>
      <c r="H15" s="25">
        <f>IF(H14=0,0,Inputs!$C$21*IF(SUM($C$14:H14)=1,Inputs!$C$22,12))</f>
        <v/>
      </c>
      <c r="I15" s="25">
        <f>IF(I14=0,0,Inputs!$C$21*IF(SUM($C$14:I14)=1,Inputs!$C$22,12))</f>
        <v/>
      </c>
      <c r="J15" s="25">
        <f>IF(J14=0,0,Inputs!$C$21*IF(SUM($C$14:J14)=1,Inputs!$C$22,12))</f>
        <v/>
      </c>
      <c r="K15" s="25">
        <f>IF(K14=0,0,Inputs!$C$21*IF(SUM($C$14:K14)=1,Inputs!$C$22,12))</f>
        <v/>
      </c>
      <c r="L15" s="25">
        <f>IF(L14=0,0,Inputs!$C$21*IF(SUM($C$14:L14)=1,Inputs!$C$22,12))</f>
        <v/>
      </c>
    </row>
    <row r="16">
      <c r="B16" s="27" t="inlineStr">
        <is>
          <t>Adjusted gross profit</t>
        </is>
      </c>
      <c r="C16" s="28">
        <f>C13-C15</f>
        <v/>
      </c>
      <c r="D16" s="28">
        <f>D13-D15</f>
        <v/>
      </c>
      <c r="E16" s="28">
        <f>E13-E15</f>
        <v/>
      </c>
      <c r="F16" s="28">
        <f>F13-F15</f>
        <v/>
      </c>
      <c r="G16" s="28">
        <f>G13-G15</f>
        <v/>
      </c>
      <c r="H16" s="28">
        <f>H13-H15</f>
        <v/>
      </c>
      <c r="I16" s="28">
        <f>I13-I15</f>
        <v/>
      </c>
      <c r="J16" s="28">
        <f>J13-J15</f>
        <v/>
      </c>
      <c r="K16" s="28">
        <f>K13-K15</f>
        <v/>
      </c>
      <c r="L16" s="28">
        <f>L13-L15</f>
        <v/>
      </c>
    </row>
    <row r="17">
      <c r="B17" s="24" t="inlineStr">
        <is>
          <t>Adjusted gross margin</t>
        </is>
      </c>
      <c r="C17" s="30">
        <f>IF(C10=0,0,C16/C10)</f>
        <v/>
      </c>
      <c r="D17" s="30">
        <f>IF(D10=0,0,D16/D10)</f>
        <v/>
      </c>
      <c r="E17" s="30">
        <f>IF(E10=0,0,E16/E10)</f>
        <v/>
      </c>
      <c r="F17" s="30">
        <f>IF(F10=0,0,F16/F10)</f>
        <v/>
      </c>
      <c r="G17" s="30">
        <f>IF(G10=0,0,G16/G10)</f>
        <v/>
      </c>
      <c r="H17" s="30">
        <f>IF(H10=0,0,H16/H10)</f>
        <v/>
      </c>
      <c r="I17" s="30">
        <f>IF(I10=0,0,I16/I10)</f>
        <v/>
      </c>
      <c r="J17" s="30">
        <f>IF(J10=0,0,J16/J10)</f>
        <v/>
      </c>
      <c r="K17" s="30">
        <f>IF(K10=0,0,K16/K10)</f>
        <v/>
      </c>
      <c r="L17" s="30">
        <f>IF(L10=0,0,L16/L10)</f>
        <v/>
      </c>
    </row>
    <row r="18">
      <c r="B18" s="24" t="inlineStr">
        <is>
          <t>Royalty</t>
        </is>
      </c>
      <c r="C18" s="25">
        <f>MAX(0,C16)*Inputs!$C$27</f>
        <v/>
      </c>
      <c r="D18" s="25">
        <f>MAX(0,D16)*Inputs!$C$27</f>
        <v/>
      </c>
      <c r="E18" s="25">
        <f>MAX(0,E16)*Inputs!$C$27</f>
        <v/>
      </c>
      <c r="F18" s="25">
        <f>MAX(0,F16)*Inputs!$C$27</f>
        <v/>
      </c>
      <c r="G18" s="25">
        <f>MAX(0,G16)*Inputs!$C$27</f>
        <v/>
      </c>
      <c r="H18" s="25">
        <f>MAX(0,H16)*Inputs!$C$27</f>
        <v/>
      </c>
      <c r="I18" s="25">
        <f>MAX(0,I16)*Inputs!$C$27</f>
        <v/>
      </c>
      <c r="J18" s="25">
        <f>MAX(0,J16)*Inputs!$C$27</f>
        <v/>
      </c>
      <c r="K18" s="25">
        <f>MAX(0,K16)*Inputs!$C$27</f>
        <v/>
      </c>
      <c r="L18" s="25">
        <f>MAX(0,L16)*Inputs!$C$27</f>
        <v/>
      </c>
    </row>
    <row r="19">
      <c r="B19" s="24" t="inlineStr">
        <is>
          <t>Marketing</t>
        </is>
      </c>
      <c r="C19" s="25">
        <f>Inputs!C12</f>
        <v/>
      </c>
      <c r="D19" s="25">
        <f>Inputs!D12</f>
        <v/>
      </c>
      <c r="E19" s="25">
        <f>Inputs!E12</f>
        <v/>
      </c>
      <c r="F19" s="25">
        <f>Inputs!F12</f>
        <v/>
      </c>
      <c r="G19" s="25">
        <f>Inputs!G12</f>
        <v/>
      </c>
      <c r="H19" s="25">
        <f>Inputs!H12</f>
        <v/>
      </c>
      <c r="I19" s="25">
        <f>Inputs!I12</f>
        <v/>
      </c>
      <c r="J19" s="25">
        <f>Inputs!J12</f>
        <v/>
      </c>
      <c r="K19" s="25">
        <f>Inputs!K12</f>
        <v/>
      </c>
      <c r="L19" s="25">
        <f>Inputs!L12</f>
        <v/>
      </c>
    </row>
    <row r="20">
      <c r="B20" s="27" t="inlineStr">
        <is>
          <t>Operating profit</t>
        </is>
      </c>
      <c r="C20" s="28">
        <f>C16-C18-C19</f>
        <v/>
      </c>
      <c r="D20" s="28">
        <f>D16-D18-D19</f>
        <v/>
      </c>
      <c r="E20" s="28">
        <f>E16-E18-E19</f>
        <v/>
      </c>
      <c r="F20" s="28">
        <f>F16-F18-F19</f>
        <v/>
      </c>
      <c r="G20" s="28">
        <f>G16-G18-G19</f>
        <v/>
      </c>
      <c r="H20" s="28">
        <f>H16-H18-H19</f>
        <v/>
      </c>
      <c r="I20" s="28">
        <f>I16-I18-I19</f>
        <v/>
      </c>
      <c r="J20" s="28">
        <f>J16-J18-J19</f>
        <v/>
      </c>
      <c r="K20" s="28">
        <f>K16-K18-K19</f>
        <v/>
      </c>
      <c r="L20" s="28">
        <f>L16-L18-L19</f>
        <v/>
      </c>
    </row>
    <row r="21">
      <c r="B21" s="24" t="inlineStr">
        <is>
          <t>Tax</t>
        </is>
      </c>
      <c r="C21" s="25">
        <f>MAX(0,C20*Inputs!$C$17)</f>
        <v/>
      </c>
      <c r="D21" s="25">
        <f>MAX(0,D20*Inputs!$C$17)</f>
        <v/>
      </c>
      <c r="E21" s="25">
        <f>MAX(0,E20*Inputs!$C$17)</f>
        <v/>
      </c>
      <c r="F21" s="25">
        <f>MAX(0,F20*Inputs!$C$17)</f>
        <v/>
      </c>
      <c r="G21" s="25">
        <f>MAX(0,G20*Inputs!$C$17)</f>
        <v/>
      </c>
      <c r="H21" s="25">
        <f>MAX(0,H20*Inputs!$C$17)</f>
        <v/>
      </c>
      <c r="I21" s="25">
        <f>MAX(0,I20*Inputs!$C$17)</f>
        <v/>
      </c>
      <c r="J21" s="25">
        <f>MAX(0,J20*Inputs!$C$17)</f>
        <v/>
      </c>
      <c r="K21" s="25">
        <f>MAX(0,K20*Inputs!$C$17)</f>
        <v/>
      </c>
      <c r="L21" s="25">
        <f>MAX(0,L20*Inputs!$C$17)</f>
        <v/>
      </c>
    </row>
    <row r="22">
      <c r="B22" s="24" t="inlineStr">
        <is>
          <t>Net operating profit</t>
        </is>
      </c>
      <c r="C22" s="25">
        <f>C20-C21</f>
        <v/>
      </c>
      <c r="D22" s="25">
        <f>D20-D21</f>
        <v/>
      </c>
      <c r="E22" s="25">
        <f>E20-E21</f>
        <v/>
      </c>
      <c r="F22" s="25">
        <f>F20-F21</f>
        <v/>
      </c>
      <c r="G22" s="25">
        <f>G20-G21</f>
        <v/>
      </c>
      <c r="H22" s="25">
        <f>H20-H21</f>
        <v/>
      </c>
      <c r="I22" s="25">
        <f>I20-I21</f>
        <v/>
      </c>
      <c r="J22" s="25">
        <f>J20-J21</f>
        <v/>
      </c>
      <c r="K22" s="25">
        <f>K20-K21</f>
        <v/>
      </c>
      <c r="L22" s="25">
        <f>L20-L21</f>
        <v/>
      </c>
    </row>
    <row r="23">
      <c r="B23" s="24" t="inlineStr">
        <is>
          <t>Working capital balance</t>
        </is>
      </c>
      <c r="C23" s="25">
        <f>C10*Inputs!$C$19</f>
        <v/>
      </c>
      <c r="D23" s="25">
        <f>D10*Inputs!$C$19</f>
        <v/>
      </c>
      <c r="E23" s="25">
        <f>E10*Inputs!$C$19</f>
        <v/>
      </c>
      <c r="F23" s="25">
        <f>F10*Inputs!$C$19</f>
        <v/>
      </c>
      <c r="G23" s="25">
        <f>G10*Inputs!$C$19</f>
        <v/>
      </c>
      <c r="H23" s="25">
        <f>H10*Inputs!$C$19</f>
        <v/>
      </c>
      <c r="I23" s="25">
        <f>I10*Inputs!$C$19</f>
        <v/>
      </c>
      <c r="J23" s="25">
        <f>J10*Inputs!$C$19</f>
        <v/>
      </c>
      <c r="K23" s="25">
        <f>K10*Inputs!$C$19</f>
        <v/>
      </c>
      <c r="L23" s="25">
        <f>L10*Inputs!$C$19</f>
        <v/>
      </c>
    </row>
    <row r="24">
      <c r="B24" s="24" t="inlineStr">
        <is>
          <t>Change in working capital</t>
        </is>
      </c>
      <c r="C24" s="25">
        <f>C23</f>
        <v/>
      </c>
      <c r="D24" s="25">
        <f>D23-C23</f>
        <v/>
      </c>
      <c r="E24" s="25">
        <f>E23-D23</f>
        <v/>
      </c>
      <c r="F24" s="25">
        <f>F23-E23</f>
        <v/>
      </c>
      <c r="G24" s="25">
        <f>G23-F23</f>
        <v/>
      </c>
      <c r="H24" s="25">
        <f>H23-G23</f>
        <v/>
      </c>
      <c r="I24" s="25">
        <f>I23-H23</f>
        <v/>
      </c>
      <c r="J24" s="25">
        <f>J23-I23</f>
        <v/>
      </c>
      <c r="K24" s="25">
        <f>K23-J23</f>
        <v/>
      </c>
      <c r="L24" s="25">
        <f>L23-K23</f>
        <v/>
      </c>
    </row>
    <row r="25">
      <c r="B25" s="24" t="inlineStr">
        <is>
          <t>Capex</t>
        </is>
      </c>
      <c r="C25" s="25">
        <f>Inputs!$C$18</f>
        <v/>
      </c>
      <c r="D25" s="25">
        <f>0</f>
        <v/>
      </c>
      <c r="E25" s="25">
        <f>0</f>
        <v/>
      </c>
      <c r="F25" s="25">
        <f>0</f>
        <v/>
      </c>
      <c r="G25" s="25">
        <f>0</f>
        <v/>
      </c>
      <c r="H25" s="25">
        <f>0</f>
        <v/>
      </c>
      <c r="I25" s="25">
        <f>0</f>
        <v/>
      </c>
      <c r="J25" s="25">
        <f>0</f>
        <v/>
      </c>
      <c r="K25" s="25">
        <f>0</f>
        <v/>
      </c>
      <c r="L25" s="25">
        <f>0</f>
        <v/>
      </c>
    </row>
    <row r="26">
      <c r="B26" s="27" t="inlineStr">
        <is>
          <t>Net cash flow</t>
        </is>
      </c>
      <c r="C26" s="28">
        <f>C22-C24-C25</f>
        <v/>
      </c>
      <c r="D26" s="28">
        <f>D22-D24-D25</f>
        <v/>
      </c>
      <c r="E26" s="28">
        <f>E22-E24-E25</f>
        <v/>
      </c>
      <c r="F26" s="28">
        <f>F22-F24-F25</f>
        <v/>
      </c>
      <c r="G26" s="28">
        <f>G22-G24-G25</f>
        <v/>
      </c>
      <c r="H26" s="28">
        <f>H22-H24-H25</f>
        <v/>
      </c>
      <c r="I26" s="28">
        <f>I22-I24-I25</f>
        <v/>
      </c>
      <c r="J26" s="28">
        <f>J22-J24-J25</f>
        <v/>
      </c>
      <c r="K26" s="28">
        <f>K22-K24-K25</f>
        <v/>
      </c>
      <c r="L26" s="28">
        <f>L22-L24-L25</f>
        <v/>
      </c>
    </row>
    <row r="27">
      <c r="B27" s="27" t="inlineStr">
        <is>
          <t>Cumulative cash flow</t>
        </is>
      </c>
      <c r="C27" s="28">
        <f>C26</f>
        <v/>
      </c>
      <c r="D27" s="28">
        <f>D26+C27</f>
        <v/>
      </c>
      <c r="E27" s="28">
        <f>E26+D27</f>
        <v/>
      </c>
      <c r="F27" s="28">
        <f>F26+E27</f>
        <v/>
      </c>
      <c r="G27" s="28">
        <f>G26+F27</f>
        <v/>
      </c>
      <c r="H27" s="28">
        <f>H26+G27</f>
        <v/>
      </c>
      <c r="I27" s="28">
        <f>I26+H27</f>
        <v/>
      </c>
      <c r="J27" s="28">
        <f>J26+I27</f>
        <v/>
      </c>
      <c r="K27" s="28">
        <f>K26+J27</f>
        <v/>
      </c>
      <c r="L27" s="28">
        <f>L26+K27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858B"/>
    <outlinePr summaryBelow="1" summaryRight="1"/>
    <pageSetUpPr/>
  </sheetPr>
  <dimension ref="B2:H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4" customWidth="1" min="3" max="3"/>
    <col width="14" customWidth="1" min="4" max="4"/>
    <col width="14" customWidth="1" min="5" max="5"/>
    <col width="16" customWidth="1" min="6" max="6"/>
    <col width="16" customWidth="1" min="7" max="7"/>
    <col width="16" customWidth="1" min="8" max="8"/>
  </cols>
  <sheetData>
    <row r="2" ht="30" customHeight="1">
      <c r="B2" s="1" t="inlineStr">
        <is>
          <t>Scenarios</t>
        </is>
      </c>
    </row>
    <row r="3">
      <c r="B3" s="2" t="inlineStr">
        <is>
          <t>Pick the active scenario on the Dashboard. Factors multiply volume, price and unit cost in every year.</t>
        </is>
      </c>
    </row>
    <row r="5" ht="24" customHeight="1">
      <c r="B5" s="11" t="inlineStr">
        <is>
          <t>Scenario</t>
        </is>
      </c>
      <c r="C5" s="12" t="inlineStr">
        <is>
          <t>Volume</t>
        </is>
      </c>
      <c r="D5" s="12" t="inlineStr">
        <is>
          <t>Price</t>
        </is>
      </c>
      <c r="E5" s="12" t="inlineStr">
        <is>
          <t>Unit cost</t>
        </is>
      </c>
    </row>
    <row r="6">
      <c r="B6" s="3" t="inlineStr">
        <is>
          <t>Conservative</t>
        </is>
      </c>
      <c r="C6" s="31" t="n">
        <v>0.8</v>
      </c>
      <c r="D6" s="31" t="n">
        <v>0.95</v>
      </c>
      <c r="E6" s="31" t="n">
        <v>1.1</v>
      </c>
    </row>
    <row r="7">
      <c r="B7" s="3" t="inlineStr">
        <is>
          <t>Base</t>
        </is>
      </c>
      <c r="C7" s="31" t="n">
        <v>1</v>
      </c>
      <c r="D7" s="31" t="n">
        <v>1</v>
      </c>
      <c r="E7" s="31" t="n">
        <v>1</v>
      </c>
    </row>
    <row r="8">
      <c r="B8" s="3" t="inlineStr">
        <is>
          <t>Optimistic</t>
        </is>
      </c>
      <c r="C8" s="31" t="n">
        <v>1.2</v>
      </c>
      <c r="D8" s="31" t="n">
        <v>1.05</v>
      </c>
      <c r="E8" s="31" t="n">
        <v>0.92</v>
      </c>
    </row>
    <row r="11">
      <c r="B11" s="10" t="inlineStr">
        <is>
          <t>SNAPSHOT · RESULTS OF ALL THREE SCENARIOS (values, recalculated by the build script)</t>
        </is>
      </c>
    </row>
    <row r="12" ht="24" customHeight="1">
      <c r="B12" s="11" t="inlineStr">
        <is>
          <t>Scenario</t>
        </is>
      </c>
      <c r="C12" s="12" t="inlineStr">
        <is>
          <t>NPV @12% ($)</t>
        </is>
      </c>
      <c r="D12" s="12" t="inlineStr">
        <is>
          <t>IRR</t>
        </is>
      </c>
      <c r="E12" s="12" t="inlineStr">
        <is>
          <t>Payback year</t>
        </is>
      </c>
      <c r="F12" s="12" t="inlineStr">
        <is>
          <t>Expansion year</t>
        </is>
      </c>
      <c r="G12" s="12" t="inlineStr">
        <is>
          <t>10-yr revenue ($)</t>
        </is>
      </c>
      <c r="H12" s="12" t="inlineStr">
        <is>
          <t>10-yr net cash ($)</t>
        </is>
      </c>
    </row>
    <row r="13">
      <c r="B13" t="inlineStr">
        <is>
          <t>Conservative</t>
        </is>
      </c>
      <c r="C13" s="32" t="n">
        <v>214705</v>
      </c>
      <c r="D13" s="33" t="n">
        <v>0.3821580003606498</v>
      </c>
      <c r="E13" s="34" t="n">
        <v>2031</v>
      </c>
      <c r="F13" s="34" t="n">
        <v>2035</v>
      </c>
      <c r="G13" s="32" t="n">
        <v>5995070</v>
      </c>
      <c r="H13" s="32" t="n">
        <v>570978</v>
      </c>
    </row>
    <row r="14">
      <c r="B14" t="inlineStr">
        <is>
          <t>Base</t>
        </is>
      </c>
      <c r="C14" s="32" t="n">
        <v>632060</v>
      </c>
      <c r="D14" s="33" t="n">
        <v>0.9629563315667806</v>
      </c>
      <c r="E14" s="34" t="n">
        <v>2029</v>
      </c>
      <c r="F14" s="34" t="n">
        <v>2033</v>
      </c>
      <c r="G14" s="32" t="n">
        <v>7888250</v>
      </c>
      <c r="H14" s="32" t="n">
        <v>1350079</v>
      </c>
    </row>
    <row r="15">
      <c r="B15" t="inlineStr">
        <is>
          <t>Optimistic</t>
        </is>
      </c>
      <c r="C15" s="32" t="n">
        <v>1162828</v>
      </c>
      <c r="D15" s="33" t="n">
        <v>1.967724774707344</v>
      </c>
      <c r="E15" s="34" t="n">
        <v>2027</v>
      </c>
      <c r="F15" s="34" t="n">
        <v>2032</v>
      </c>
      <c r="G15" s="32" t="n">
        <v>9939195</v>
      </c>
      <c r="H15" s="32" t="n">
        <v>2375770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3A2B"/>
    <outlinePr summaryBelow="1" summaryRight="1"/>
    <pageSetUpPr/>
  </sheetPr>
  <dimension ref="B2:H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2" ht="30" customHeight="1">
      <c r="B2" s="1" t="inlineStr">
        <is>
          <t>Pricing check · quote vs. order size</t>
        </is>
      </c>
    </row>
    <row r="3">
      <c r="B3" s="2" t="inlineStr">
        <is>
          <t>Retail benchmarks show what shoppers pay; this sheet checks whether a B2B quote still makes money once the order is delivered.</t>
        </is>
      </c>
    </row>
    <row r="5">
      <c r="B5" s="13" t="inlineStr">
        <is>
          <t>Core cost / unit ($)</t>
        </is>
      </c>
      <c r="C5" s="35" t="n">
        <v>148.4</v>
      </c>
    </row>
    <row r="6">
      <c r="B6" s="13" t="inlineStr">
        <is>
          <t>Quoted price Ex-Vietnam ($)</t>
        </is>
      </c>
      <c r="C6" s="36" t="n">
        <v>170</v>
      </c>
    </row>
    <row r="7">
      <c r="B7" s="13" t="inlineStr">
        <is>
          <t>First-order discount</t>
        </is>
      </c>
      <c r="C7" s="17" t="n">
        <v>0.05</v>
      </c>
    </row>
    <row r="8">
      <c r="B8" s="13" t="inlineStr">
        <is>
          <t>Freight &amp; handling fixed per order ($)</t>
        </is>
      </c>
      <c r="C8" s="18" t="n">
        <v>1500</v>
      </c>
    </row>
    <row r="9">
      <c r="B9" s="13" t="inlineStr">
        <is>
          <t>Delivered cost per unit ($)</t>
        </is>
      </c>
      <c r="C9" s="36" t="n">
        <v>3</v>
      </c>
    </row>
    <row r="10">
      <c r="B10" s="13" t="inlineStr">
        <is>
          <t>Market / channel buffer (% of net price)</t>
        </is>
      </c>
      <c r="C10" s="17" t="n">
        <v>0.06</v>
      </c>
    </row>
    <row r="11">
      <c r="B11" s="13" t="inlineStr">
        <is>
          <t>Target gross margin</t>
        </is>
      </c>
      <c r="C11" s="17" t="n">
        <v>0.2</v>
      </c>
    </row>
    <row r="13">
      <c r="B13" s="3" t="inlineStr">
        <is>
          <t>Net price after discount ($)</t>
        </is>
      </c>
      <c r="C13" s="37">
        <f>C6*(1-C7)</f>
        <v/>
      </c>
    </row>
    <row r="14">
      <c r="B14" s="3" t="inlineStr">
        <is>
          <t>Ex-Vietnam margin per unit ($)</t>
        </is>
      </c>
      <c r="C14" s="37">
        <f>C13-C5</f>
        <v/>
      </c>
    </row>
    <row r="15">
      <c r="B15" s="3" t="inlineStr">
        <is>
          <t>Ex-Vietnam gross margin</t>
        </is>
      </c>
      <c r="C15" s="20">
        <f>IF(C13=0,0,C14/C13)</f>
        <v/>
      </c>
    </row>
    <row r="16">
      <c r="B16" s="3" t="inlineStr">
        <is>
          <t>Quote needed for the target margin ($)</t>
        </is>
      </c>
      <c r="C16" s="37">
        <f>C5/(1-C11)/(1-C7)</f>
        <v/>
      </c>
    </row>
    <row r="18">
      <c r="B18" s="10" t="inlineStr">
        <is>
          <t>DELIVERED ECONOMICS BY ORDER SIZE (MOQ)</t>
        </is>
      </c>
    </row>
    <row r="19" ht="24" customHeight="1">
      <c r="B19" s="11" t="inlineStr">
        <is>
          <t>Order size (units)</t>
        </is>
      </c>
      <c r="C19" s="12" t="n">
        <v>20</v>
      </c>
      <c r="D19" s="12" t="n">
        <v>40</v>
      </c>
      <c r="E19" s="12" t="n">
        <v>60</v>
      </c>
      <c r="F19" s="12" t="n">
        <v>100</v>
      </c>
      <c r="G19" s="12" t="n">
        <v>150</v>
      </c>
      <c r="H19" s="12" t="n">
        <v>200</v>
      </c>
    </row>
    <row r="20">
      <c r="B20" s="13" t="inlineStr">
        <is>
          <t>Delivered cost / unit ($)</t>
        </is>
      </c>
      <c r="C20" s="38">
        <f>$C$5+$C$9+$C$8/C$19+$C$13*$C$10</f>
        <v/>
      </c>
      <c r="D20" s="38">
        <f>$C$5+$C$9+$C$8/D$19+$C$13*$C$10</f>
        <v/>
      </c>
      <c r="E20" s="38">
        <f>$C$5+$C$9+$C$8/E$19+$C$13*$C$10</f>
        <v/>
      </c>
      <c r="F20" s="38">
        <f>$C$5+$C$9+$C$8/F$19+$C$13*$C$10</f>
        <v/>
      </c>
      <c r="G20" s="38">
        <f>$C$5+$C$9+$C$8/G$19+$C$13*$C$10</f>
        <v/>
      </c>
      <c r="H20" s="38">
        <f>$C$5+$C$9+$C$8/H$19+$C$13*$C$10</f>
        <v/>
      </c>
    </row>
    <row r="21">
      <c r="B21" s="13" t="inlineStr">
        <is>
          <t>Net price ($)</t>
        </is>
      </c>
      <c r="C21" s="38">
        <f>$C$13</f>
        <v/>
      </c>
      <c r="D21" s="38">
        <f>$C$13</f>
        <v/>
      </c>
      <c r="E21" s="38">
        <f>$C$13</f>
        <v/>
      </c>
      <c r="F21" s="38">
        <f>$C$13</f>
        <v/>
      </c>
      <c r="G21" s="38">
        <f>$C$13</f>
        <v/>
      </c>
      <c r="H21" s="38">
        <f>$C$13</f>
        <v/>
      </c>
    </row>
    <row r="22">
      <c r="B22" s="13" t="inlineStr">
        <is>
          <t>Margin / unit ($)</t>
        </is>
      </c>
      <c r="C22" s="38">
        <f>C21-C20</f>
        <v/>
      </c>
      <c r="D22" s="38">
        <f>D21-D20</f>
        <v/>
      </c>
      <c r="E22" s="38">
        <f>E21-E20</f>
        <v/>
      </c>
      <c r="F22" s="38">
        <f>F21-F20</f>
        <v/>
      </c>
      <c r="G22" s="38">
        <f>G21-G20</f>
        <v/>
      </c>
      <c r="H22" s="38">
        <f>H21-H20</f>
        <v/>
      </c>
    </row>
    <row r="23">
      <c r="B23" s="3" t="inlineStr">
        <is>
          <t>Delivered margin</t>
        </is>
      </c>
      <c r="C23" s="30">
        <f>IF(C21=0,0,C22/C21)</f>
        <v/>
      </c>
      <c r="D23" s="30">
        <f>IF(D21=0,0,D22/D21)</f>
        <v/>
      </c>
      <c r="E23" s="30">
        <f>IF(E21=0,0,E22/E21)</f>
        <v/>
      </c>
      <c r="F23" s="30">
        <f>IF(F21=0,0,F22/F21)</f>
        <v/>
      </c>
      <c r="G23" s="30">
        <f>IF(G21=0,0,G22/G21)</f>
        <v/>
      </c>
      <c r="H23" s="30">
        <f>IF(H21=0,0,H22/H21)</f>
        <v/>
      </c>
    </row>
    <row r="25">
      <c r="B25" s="39" t="inlineStr">
        <is>
          <t>Reading: a quote that clears a thin margin Ex-Vietnam can turn negative once freight and channel costs are added on small orders. Decision rule used: REVIEW the quote until the BOM, freight and buyer margin are confirmed.</t>
        </is>
      </c>
    </row>
  </sheetData>
  <conditionalFormatting sqref="C23:H23">
    <cfRule type="cellIs" priority="1" operator="lessThan" dxfId="0">
      <formula>0</formula>
    </cfRule>
    <cfRule type="cellIs" priority="2" operator="greaterThanOrEqual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A1615"/>
    <outlinePr summaryBelow="1" summaryRight="1"/>
    <pageSetUpPr/>
  </sheetPr>
  <dimension ref="B2:G2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0" customWidth="1" min="2" max="2"/>
    <col width="34" customWidth="1" min="3" max="3"/>
    <col width="11" customWidth="1" min="4" max="4"/>
    <col width="46" customWidth="1" min="5" max="5"/>
    <col width="40" customWidth="1" min="6" max="6"/>
    <col width="22" customWidth="1" min="7" max="7"/>
  </cols>
  <sheetData>
    <row r="2" ht="30" customHeight="1">
      <c r="B2" s="1" t="inlineStr">
        <is>
          <t>Workstream tracker</t>
        </is>
      </c>
    </row>
    <row r="3">
      <c r="B3" s="2" t="inlineStr">
        <is>
          <t>Weekly review: status, blocker and next action for each workstream. Partner names anonymised.</t>
        </is>
      </c>
    </row>
    <row r="5" ht="24" customHeight="1">
      <c r="B5" s="40" t="inlineStr">
        <is>
          <t>ID</t>
        </is>
      </c>
      <c r="C5" s="41" t="inlineStr">
        <is>
          <t>Workstream</t>
        </is>
      </c>
      <c r="D5" s="41" t="inlineStr">
        <is>
          <t>Status</t>
        </is>
      </c>
      <c r="E5" s="41" t="inlineStr">
        <is>
          <t>Latest reading</t>
        </is>
      </c>
      <c r="F5" s="41" t="inlineStr">
        <is>
          <t>Next action</t>
        </is>
      </c>
      <c r="G5" s="41" t="inlineStr">
        <is>
          <t>Owner</t>
        </is>
      </c>
    </row>
    <row r="6" ht="30" customHeight="1">
      <c r="B6" s="42" t="inlineStr">
        <is>
          <t>BAM-001</t>
        </is>
      </c>
      <c r="C6" s="42" t="inlineStr">
        <is>
          <t>Production partner follow-up</t>
        </is>
      </c>
      <c r="D6" s="42" t="inlineStr">
        <is>
          <t>On Work</t>
        </is>
      </c>
      <c r="E6" s="43" t="inlineStr">
        <is>
          <t>New metal joint delayed at the metal sub-supplier.</t>
        </is>
      </c>
      <c r="F6" s="43" t="inlineStr">
        <is>
          <t>Confirm joint delivery date; book prototype test.</t>
        </is>
      </c>
      <c r="G6" s="42" t="inlineStr">
        <is>
          <t>Production partner / KAN</t>
        </is>
      </c>
    </row>
    <row r="7" ht="30" customHeight="1">
      <c r="B7" s="42" t="inlineStr">
        <is>
          <t>BAM-002</t>
        </is>
      </c>
      <c r="C7" s="42" t="inlineStr">
        <is>
          <t>Letter of intent (LOI)</t>
        </is>
      </c>
      <c r="D7" s="42" t="inlineStr">
        <is>
          <t>On Work</t>
        </is>
      </c>
      <c r="E7" s="43" t="inlineStr">
        <is>
          <t>Sent to partners; feedback pending.</t>
        </is>
      </c>
      <c r="F7" s="43" t="inlineStr">
        <is>
          <t>Chase comments; consolidate open terms.</t>
        </is>
      </c>
      <c r="G7" s="42" t="inlineStr">
        <is>
          <t>KAN</t>
        </is>
      </c>
    </row>
    <row r="8" ht="30" customHeight="1">
      <c r="B8" s="42" t="inlineStr">
        <is>
          <t>BAM-003</t>
        </is>
      </c>
      <c r="C8" s="42" t="inlineStr">
        <is>
          <t>Framework agreement · canopy supplier</t>
        </is>
      </c>
      <c r="D8" s="42" t="inlineStr">
        <is>
          <t>Pending</t>
        </is>
      </c>
      <c r="E8" s="43" t="inlineStr">
        <is>
          <t>Draft agreed in principle; deposit term open.</t>
        </is>
      </c>
      <c r="F8" s="43" t="inlineStr">
        <is>
          <t>Follow up signature.</t>
        </is>
      </c>
      <c r="G8" s="42" t="inlineStr">
        <is>
          <t>Canopy supplier / KAN</t>
        </is>
      </c>
    </row>
    <row r="9" ht="30" customHeight="1">
      <c r="B9" s="42" t="inlineStr">
        <is>
          <t>BAM-004</t>
        </is>
      </c>
      <c r="C9" s="42" t="inlineStr">
        <is>
          <t>Framework agreement · production partner</t>
        </is>
      </c>
      <c r="D9" s="42" t="inlineStr">
        <is>
          <t>Pending</t>
        </is>
      </c>
      <c r="E9" s="43" t="inlineStr">
        <is>
          <t>Waiting for signature.</t>
        </is>
      </c>
      <c r="F9" s="43" t="inlineStr">
        <is>
          <t>Follow up after prototype milestone.</t>
        </is>
      </c>
      <c r="G9" s="42" t="inlineStr">
        <is>
          <t>Production partner / KAN</t>
        </is>
      </c>
    </row>
    <row r="10" ht="30" customHeight="1">
      <c r="B10" s="42" t="inlineStr">
        <is>
          <t>BAM-005</t>
        </is>
      </c>
      <c r="C10" s="42" t="inlineStr">
        <is>
          <t>Canopy prototype / sample</t>
        </is>
      </c>
      <c r="D10" s="42" t="inlineStr">
        <is>
          <t>Done</t>
        </is>
      </c>
      <c r="E10" s="43" t="inlineStr">
        <is>
          <t>Sample completed.</t>
        </is>
      </c>
      <c r="F10" s="43" t="inlineStr">
        <is>
          <t>—</t>
        </is>
      </c>
      <c r="G10" s="42" t="inlineStr">
        <is>
          <t>KAN</t>
        </is>
      </c>
    </row>
    <row r="11" ht="30" customHeight="1">
      <c r="B11" s="42" t="inlineStr">
        <is>
          <t>BAM-006</t>
        </is>
      </c>
      <c r="C11" s="42" t="inlineStr">
        <is>
          <t>Marketing (photo, video, one-pager)</t>
        </is>
      </c>
      <c r="D11" s="42" t="inlineStr">
        <is>
          <t>Pending</t>
        </is>
      </c>
      <c r="E11" s="43" t="inlineStr">
        <is>
          <t>Held until the prototype is presentable.</t>
        </is>
      </c>
      <c r="F11" s="43" t="inlineStr">
        <is>
          <t>Request final quote once sample is ready.</t>
        </is>
      </c>
      <c r="G11" s="42" t="inlineStr">
        <is>
          <t>KAN</t>
        </is>
      </c>
    </row>
    <row r="12" ht="30" customHeight="1">
      <c r="B12" s="42" t="inlineStr">
        <is>
          <t>BAM-007</t>
        </is>
      </c>
      <c r="C12" s="42" t="inlineStr">
        <is>
          <t>Sales launch pad</t>
        </is>
      </c>
      <c r="D12" s="42" t="inlineStr">
        <is>
          <t>On Work</t>
        </is>
      </c>
      <c r="E12" s="43" t="inlineStr">
        <is>
          <t>Pitch list and materials prepared in draft.</t>
        </is>
      </c>
      <c r="F12" s="43" t="inlineStr">
        <is>
          <t>Initial sales test after prototype + one-pager.</t>
        </is>
      </c>
      <c r="G12" s="42" t="inlineStr">
        <is>
          <t>KAN / Investor / Partner</t>
        </is>
      </c>
    </row>
    <row r="13" ht="30" customHeight="1">
      <c r="B13" s="42" t="inlineStr">
        <is>
          <t>BAM-008</t>
        </is>
      </c>
      <c r="C13" s="42" t="inlineStr">
        <is>
          <t>Prototype dimensions &amp; structure</t>
        </is>
      </c>
      <c r="D13" s="42" t="inlineStr">
        <is>
          <t>On Work</t>
        </is>
      </c>
      <c r="E13" s="43" t="inlineStr">
        <is>
          <t>Joint redesign is the main technical blocker.</t>
        </is>
      </c>
      <c r="F13" s="43" t="inlineStr">
        <is>
          <t>Freeze dimensions, then request quotes.</t>
        </is>
      </c>
      <c r="G13" s="42" t="inlineStr">
        <is>
          <t>Production partner / KAN</t>
        </is>
      </c>
    </row>
    <row r="14" ht="30" customHeight="1">
      <c r="B14" s="42" t="inlineStr">
        <is>
          <t>BAM-009</t>
        </is>
      </c>
      <c r="C14" s="42" t="inlineStr">
        <is>
          <t>Prototype transport &amp; canvas fitting</t>
        </is>
      </c>
      <c r="D14" s="42" t="inlineStr">
        <is>
          <t>On Work</t>
        </is>
      </c>
      <c r="E14" s="43" t="inlineStr">
        <is>
          <t>Canvas looks more even in the latest photos.</t>
        </is>
      </c>
      <c r="F14" s="43" t="inlineStr">
        <is>
          <t>Final fitting review with canopy supplier.</t>
        </is>
      </c>
      <c r="G14" s="42" t="inlineStr">
        <is>
          <t>Production partner / Supplier</t>
        </is>
      </c>
    </row>
    <row r="15" ht="30" customHeight="1">
      <c r="B15" s="42" t="inlineStr">
        <is>
          <t>BAM-010</t>
        </is>
      </c>
      <c r="C15" s="42" t="inlineStr">
        <is>
          <t>Stepwise product validation</t>
        </is>
      </c>
      <c r="D15" s="42" t="inlineStr">
        <is>
          <t>On Work</t>
        </is>
      </c>
      <c r="E15" s="43" t="inlineStr">
        <is>
          <t>Validation rounds with investor and partner.</t>
        </is>
      </c>
      <c r="F15" s="43" t="inlineStr">
        <is>
          <t>Next review after new joint.</t>
        </is>
      </c>
      <c r="G15" s="42" t="inlineStr">
        <is>
          <t>Investor / Partner / KAN</t>
        </is>
      </c>
    </row>
    <row r="16" ht="30" customHeight="1">
      <c r="B16" s="42" t="inlineStr">
        <is>
          <t>BAM-011</t>
        </is>
      </c>
      <c r="C16" s="42" t="inlineStr">
        <is>
          <t>Buyer &amp; price research</t>
        </is>
      </c>
      <c r="D16" s="42" t="inlineStr">
        <is>
          <t>Done</t>
        </is>
      </c>
      <c r="E16" s="43" t="inlineStr">
        <is>
          <t>Prospect list and retail benchmark shortlist ready.</t>
        </is>
      </c>
      <c r="F16" s="43" t="inlineStr">
        <is>
          <t>—</t>
        </is>
      </c>
      <c r="G16" s="42" t="inlineStr">
        <is>
          <t>KAN</t>
        </is>
      </c>
    </row>
    <row r="17" ht="30" customHeight="1">
      <c r="B17" s="42" t="inlineStr">
        <is>
          <t>BAM-012</t>
        </is>
      </c>
      <c r="C17" s="42" t="inlineStr">
        <is>
          <t>Price benchmark &amp; MOQ analysis</t>
        </is>
      </c>
      <c r="D17" s="42" t="inlineStr">
        <is>
          <t>Done</t>
        </is>
      </c>
      <c r="E17" s="43" t="inlineStr">
        <is>
          <t>Pricing check delivered as basis for buyer approach.</t>
        </is>
      </c>
      <c r="F17" s="43" t="inlineStr">
        <is>
          <t>Refresh when BOM is frozen.</t>
        </is>
      </c>
      <c r="G17" s="42" t="inlineStr">
        <is>
          <t>KAN</t>
        </is>
      </c>
    </row>
    <row r="19">
      <c r="B19" s="44" t="inlineStr">
        <is>
          <t>Status count</t>
        </is>
      </c>
    </row>
    <row r="20">
      <c r="B20" s="13" t="inlineStr">
        <is>
          <t>Done</t>
        </is>
      </c>
      <c r="C20" s="3">
        <f>COUNTIF($D$6:$D$40,"Done")</f>
        <v/>
      </c>
    </row>
    <row r="21">
      <c r="B21" s="13" t="inlineStr">
        <is>
          <t>On Work</t>
        </is>
      </c>
      <c r="C21" s="3">
        <f>COUNTIF($D$6:$D$40,"On Work")</f>
        <v/>
      </c>
    </row>
    <row r="22">
      <c r="B22" s="13" t="inlineStr">
        <is>
          <t>Pending</t>
        </is>
      </c>
      <c r="C22" s="3">
        <f>COUNTIF($D$6:$D$40,"Pending")</f>
        <v/>
      </c>
    </row>
  </sheetData>
  <conditionalFormatting sqref="D6:D40">
    <cfRule type="cellIs" priority="1" operator="equal" dxfId="1">
      <formula>"Done"</formula>
    </cfRule>
    <cfRule type="cellIs" priority="2" operator="equal" dxfId="2">
      <formula>"On Work"</formula>
    </cfRule>
    <cfRule type="cellIs" priority="3" operator="equal" dxfId="0">
      <formula>"Pending"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2026-10-11T14:41:00Z</dcterms:created>
  <dcterms:modified xmlns:dcterms="http://purl.org/dc/terms/" xmlns:xsi="http://www.w3.org/2001/XMLSchema-instance" xsi:type="dcterms:W3CDTF">2026-10-11T14:41:00Z</dcterms:modified>
</cp:coreProperties>
</file>